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qSO0Gwfra4nG4GzawI26Bn2LzRB1kyFONWKTLpvaFpOidzygHZiJCNDspPj+qDCCbEuUsvG5U2LRp1MhhkoHiA==" workbookSaltValue="YLlI9hboc/ZUvZXFPimB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Q32" i="20"/>
  <c r="AE32" i="20"/>
  <c r="AZ32" i="20"/>
  <c r="O18" i="11"/>
  <c r="W32" i="20"/>
  <c r="AJ32" i="20"/>
  <c r="G30" i="14"/>
  <c r="G23" i="14"/>
  <c r="U18" i="11"/>
  <c r="AX32" i="20"/>
  <c r="Y32" i="20"/>
  <c r="L32" i="20"/>
  <c r="AG32" i="20"/>
  <c r="H32" i="20"/>
  <c r="T32" i="21"/>
  <c r="F32" i="20"/>
  <c r="AF32" i="20"/>
  <c r="G26" i="14"/>
  <c r="S32" i="20"/>
  <c r="K32" i="20"/>
  <c r="AQ32" i="21"/>
  <c r="O17" i="11"/>
  <c r="J32" i="20"/>
  <c r="AK32" i="20"/>
  <c r="U12" i="11"/>
  <c r="AU32" i="20"/>
  <c r="G14" i="14"/>
  <c r="R32" i="20"/>
  <c r="L17" i="14" l="1"/>
  <c r="BF17" i="8"/>
  <c r="F28" i="2"/>
  <c r="F16" i="11"/>
  <c r="AQ16" i="11" s="1"/>
  <c r="R8" i="9"/>
  <c r="X12" i="21" s="1"/>
  <c r="P13" i="14"/>
  <c r="BE17" i="13"/>
  <c r="BF16" i="13"/>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22" i="2"/>
  <c r="X22" i="16"/>
  <c r="S16" i="17"/>
  <c r="S17" i="17"/>
  <c r="L12" i="2"/>
  <c r="X19" i="16"/>
  <c r="X10" i="21"/>
  <c r="L20" i="2"/>
  <c r="U9" i="17"/>
  <c r="U31" i="17" s="1"/>
  <c r="V10" i="16"/>
  <c r="V9" i="16"/>
  <c r="X13" i="16"/>
  <c r="BH9" i="16"/>
  <c r="BF13" i="11"/>
  <c r="BF28" i="11"/>
  <c r="BG20" i="11"/>
  <c r="AZ18" i="11"/>
  <c r="BW29" i="20"/>
  <c r="BG12" i="11"/>
  <c r="BL28" i="11"/>
  <c r="BH11" i="11"/>
  <c r="S18" i="17"/>
  <c r="BM9" i="11"/>
  <c r="BK22" i="11"/>
  <c r="L10" i="2"/>
  <c r="X21" i="20"/>
  <c r="L16" i="2"/>
  <c r="X16" i="16"/>
  <c r="X23" i="16" s="1"/>
  <c r="BG25" i="11"/>
  <c r="Q18" i="20"/>
  <c r="Q23" i="20" s="1"/>
  <c r="BF18" i="11"/>
  <c r="BG22" i="11"/>
  <c r="AZ19" i="11"/>
  <c r="V12" i="21"/>
  <c r="BK11" i="11"/>
  <c r="AP10" i="21"/>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8" i="2"/>
  <c r="L17" i="2"/>
  <c r="AA11" i="16"/>
  <c r="BH16" i="16"/>
  <c r="BK29" i="11"/>
  <c r="AP21" i="20"/>
  <c r="BJ11" i="11"/>
  <c r="R10" i="21"/>
  <c r="BG16" i="11"/>
  <c r="BL13" i="11"/>
  <c r="P13" i="11" s="1"/>
  <c r="BM16" i="11"/>
  <c r="BJ25" i="11"/>
  <c r="BU16" i="17"/>
  <c r="X20" i="16"/>
  <c r="BW25" i="20"/>
  <c r="U13" i="17"/>
  <c r="BV29" i="16"/>
  <c r="BV9" i="16"/>
  <c r="BV14" i="16" s="1"/>
  <c r="AZ17" i="11"/>
  <c r="BI20" i="11"/>
  <c r="BI9" i="11"/>
  <c r="BL10" i="11"/>
  <c r="BH10" i="16"/>
  <c r="BH12" i="16"/>
  <c r="L18" i="2"/>
  <c r="L9" i="2"/>
  <c r="V25" i="16"/>
  <c r="X12" i="17"/>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BI23" i="11"/>
  <c r="AQ17" i="11"/>
  <c r="P12"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<sst xmlns="http://schemas.openxmlformats.org/spreadsheetml/2006/main" count="2682" uniqueCount="1193">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</sst>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Q+8sC22g/y0ysrVQd+Hi1zhTd/mrqsgidwH7NMqrq+NVzWNIjS2UFedwPsRaoPl6mzWN8XK5/kG/fNLXu98Ww==" saltValue="VCmu0ZUhsXi5hN5tpabs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3</v>
      </c>
      <c r="F10" s="240">
        <f>IF(ISNUMBER(Datos!K10),Datos!K10," - ")</f>
        <v>5</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57.2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41.90856313497823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1002</v>
      </c>
      <c r="D17" s="239">
        <f>IF(ISNUMBER(IF(D_I="SI",Datos!I17,Datos!I17+Datos!AC17)),IF(D_I="SI",Datos!I17,Datos!I17+Datos!AC17)," - ")</f>
        <v>1002</v>
      </c>
      <c r="E17" s="240">
        <f>IF(ISNUMBER(IF(D_I="SI",Datos!J17,Datos!J17+Datos!AD17)),IF(D_I="SI",Datos!J17,Datos!J17+Datos!AD17)," - ")</f>
        <v>558</v>
      </c>
      <c r="F17" s="240">
        <f>IF(ISNUMBER(IF(D_I="SI",Datos!K17,Datos!K17+Datos!AE17)),IF(D_I="SI",Datos!K17,Datos!K17+Datos!AE17)," - ")</f>
        <v>521</v>
      </c>
      <c r="G17" s="1390" t="str">
        <f>IF(Datos!E17&lt;&gt;"",Datos!E17,Datos!D17)</f>
        <v>04</v>
      </c>
      <c r="H17" s="241">
        <f>IF(ISNUMBER(IF(D_I="SI",Datos!L17,Datos!L17+Datos!AF17)),IF(D_I="SI",Datos!L17,Datos!L17+Datos!AF17)," - ")</f>
        <v>1039</v>
      </c>
      <c r="I17" s="1400" t="str">
        <f>IF(ISNUMBER(Datos!AS17/Datos!BM17),Datos!AS17/Datos!BM17," - ")</f>
        <v xml:space="preserve"> - </v>
      </c>
      <c r="J17" s="1401">
        <f>IF(ISNUMBER(Datos!BY17/Datos!CN17),Datos!BY17/Datos!CN17," - ")</f>
        <v>0</v>
      </c>
      <c r="K17" s="244">
        <f t="shared" si="3"/>
        <v>3.6926147704590816E-2</v>
      </c>
      <c r="L17" s="1402">
        <f>IF(ISNUMBER(NºAsuntos!I17/NºAsuntos!G17),(NºAsuntos!I17/NºAsuntos!G17)*11," - ")</f>
        <v>21.936660268714011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53</v>
      </c>
      <c r="F18" s="240">
        <f>IF(ISNUMBER(IF(D_I="SI",Datos!K18,Datos!K18+Datos!AE18)),IF(D_I="SI",Datos!K18,Datos!K18+Datos!AE18)," - ")</f>
        <v>63</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-9.7087378640776698E-2</v>
      </c>
      <c r="L18" s="1402">
        <f>IF(ISNUMBER(NºAsuntos!I18/NºAsuntos!G18),(NºAsuntos!I18/NºAsuntos!G18)*11," - ")</f>
        <v>16.238095238095241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1105</v>
      </c>
      <c r="D23" s="1407">
        <f>SUBTOTAL(9,D16:D22)</f>
        <v>1105</v>
      </c>
      <c r="E23" s="1408">
        <f>SUBTOTAL(9,E16:E22)</f>
        <v>611</v>
      </c>
      <c r="F23" s="1408">
        <f>SUBTOTAL(9,F16:F22)</f>
        <v>584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1133</v>
      </c>
      <c r="D31" s="1435">
        <f>SUBTOTAL(9,D9:D30)</f>
        <v>1133</v>
      </c>
      <c r="E31" s="1436">
        <f>SUBTOTAL(9,E9:E30)</f>
        <v>614</v>
      </c>
      <c r="F31" s="1436">
        <f>SUBTOTAL(9,F9:F30)</f>
        <v>589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mUnEdkyjwCSUeaMkmo/MZr0e6ZVQ9GVrYOK6Ie1URw+/eS72Q3LO7znYprR3Zvz+cXXprq591m4ET9mkIwoFw==" saltValue="FhZ9UzGt8Qle4U8DeW/Q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dVnYczYtmMFOB73y/5Fi3muyVPy6p0F91KCtWWFoUi4i8NwE/K0rpcP3bAt2Y6AgVtUc23Rq2TXMdIxc7uLzg==" saltValue="mBOSVkit4gnooUNpEk+Z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3</v>
      </c>
      <c r="K10" s="194">
        <v>5</v>
      </c>
      <c r="L10" s="194">
        <v>26</v>
      </c>
      <c r="M10" s="194">
        <v>3</v>
      </c>
      <c r="N10" s="194">
        <v>1</v>
      </c>
      <c r="O10" s="194">
        <v>1</v>
      </c>
      <c r="P10" s="194">
        <v>0</v>
      </c>
      <c r="Q10" s="194">
        <v>2</v>
      </c>
      <c r="R10" s="194">
        <v>6</v>
      </c>
      <c r="S10" s="194">
        <v>18</v>
      </c>
      <c r="T10" s="194">
        <v>10</v>
      </c>
      <c r="U10" s="194">
        <v>2</v>
      </c>
      <c r="V10" s="194">
        <v>26</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10</v>
      </c>
      <c r="BA10" s="139">
        <f t="shared" si="0"/>
        <v>2</v>
      </c>
      <c r="BB10" s="139">
        <f t="shared" si="0"/>
        <v>26</v>
      </c>
      <c r="BC10" s="135">
        <f t="shared" si="0"/>
        <v>0</v>
      </c>
      <c r="BD10" s="136">
        <f>IF(ISNUMBER(BA10/AZ10),BA10/AZ10," - ")</f>
        <v>0.2</v>
      </c>
      <c r="BE10" s="137">
        <f>IF(ISNUMBER(BB10/BA10),BB10/BA10, " - ")</f>
        <v>13</v>
      </c>
      <c r="BF10" s="137">
        <f>IF(ISNUMBER(BC10/BA10),BC10/BA10, " - ")</f>
        <v>0</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2515</v>
      </c>
      <c r="J12" s="196">
        <v>628</v>
      </c>
      <c r="K12" s="196">
        <v>622</v>
      </c>
      <c r="L12" s="196">
        <v>2521</v>
      </c>
      <c r="M12" s="196">
        <v>149</v>
      </c>
      <c r="N12" s="196">
        <v>269</v>
      </c>
      <c r="O12" s="194">
        <v>337</v>
      </c>
      <c r="P12" s="196">
        <v>146</v>
      </c>
      <c r="Q12" s="196">
        <v>202</v>
      </c>
      <c r="R12" s="196">
        <v>2029</v>
      </c>
      <c r="S12" s="196">
        <v>2473</v>
      </c>
      <c r="T12" s="196">
        <v>483</v>
      </c>
      <c r="U12" s="196">
        <v>481</v>
      </c>
      <c r="V12" s="196">
        <v>2475</v>
      </c>
      <c r="W12" s="196">
        <v>152</v>
      </c>
      <c r="X12" s="202">
        <v>171</v>
      </c>
      <c r="Y12" s="204">
        <v>74</v>
      </c>
      <c r="Z12" s="194">
        <v>97</v>
      </c>
      <c r="AA12" s="194">
        <v>67</v>
      </c>
      <c r="AB12" s="194">
        <v>104</v>
      </c>
      <c r="AC12" s="196">
        <v>0</v>
      </c>
      <c r="AD12" s="196">
        <v>0</v>
      </c>
      <c r="AE12" s="196">
        <v>0</v>
      </c>
      <c r="AF12" s="202">
        <v>0</v>
      </c>
      <c r="AG12" s="215">
        <v>31</v>
      </c>
      <c r="AH12" s="196">
        <v>95</v>
      </c>
      <c r="AI12" s="196">
        <v>70</v>
      </c>
      <c r="AJ12" s="216">
        <v>56</v>
      </c>
      <c r="AK12" s="195">
        <v>0</v>
      </c>
      <c r="AL12" s="196">
        <v>0</v>
      </c>
      <c r="AM12" s="196">
        <v>0</v>
      </c>
      <c r="AN12" s="202">
        <v>0</v>
      </c>
      <c r="AO12" s="283">
        <v>3</v>
      </c>
      <c r="AP12" s="168">
        <v>3</v>
      </c>
      <c r="AQ12" s="168">
        <v>3</v>
      </c>
      <c r="AR12" s="167">
        <v>3</v>
      </c>
      <c r="AS12" s="381" t="s">
        <v>1075</v>
      </c>
      <c r="AT12" s="216"/>
      <c r="AU12" s="215"/>
      <c r="AV12" s="216"/>
      <c r="AW12" s="215"/>
      <c r="AX12" s="216"/>
      <c r="AY12" s="136">
        <f t="shared" si="1"/>
        <v>2504</v>
      </c>
      <c r="AZ12" s="137">
        <f t="shared" si="1"/>
        <v>578</v>
      </c>
      <c r="BA12" s="137">
        <f t="shared" si="1"/>
        <v>551</v>
      </c>
      <c r="BB12" s="137">
        <f t="shared" si="1"/>
        <v>2531</v>
      </c>
      <c r="BC12" s="135">
        <f>IF(ISNUMBER(X12),X12," - ")</f>
        <v>171</v>
      </c>
      <c r="BD12" s="136">
        <f t="shared" si="2"/>
        <v>0.95328719723183386</v>
      </c>
      <c r="BE12" s="137">
        <f t="shared" si="3"/>
        <v>4.5934664246823953</v>
      </c>
      <c r="BF12" s="137">
        <f t="shared" si="4"/>
        <v>0.31034482758620691</v>
      </c>
      <c r="BG12" s="209">
        <f t="shared" si="5"/>
        <v>5.5934664246823953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2543</v>
      </c>
      <c r="J14" s="197">
        <f t="shared" si="7"/>
        <v>631</v>
      </c>
      <c r="K14" s="197">
        <f t="shared" si="7"/>
        <v>627</v>
      </c>
      <c r="L14" s="197">
        <f t="shared" si="7"/>
        <v>2547</v>
      </c>
      <c r="M14" s="197">
        <f t="shared" si="7"/>
        <v>152</v>
      </c>
      <c r="N14" s="197">
        <f t="shared" si="7"/>
        <v>270</v>
      </c>
      <c r="O14" s="197">
        <f t="shared" si="7"/>
        <v>338</v>
      </c>
      <c r="P14" s="197">
        <f t="shared" si="7"/>
        <v>146</v>
      </c>
      <c r="Q14" s="197">
        <f t="shared" si="7"/>
        <v>204</v>
      </c>
      <c r="R14" s="197">
        <f t="shared" si="7"/>
        <v>2035</v>
      </c>
      <c r="S14" s="197">
        <f t="shared" si="7"/>
        <v>2491</v>
      </c>
      <c r="T14" s="197">
        <f t="shared" si="7"/>
        <v>493</v>
      </c>
      <c r="U14" s="197">
        <f t="shared" si="7"/>
        <v>483</v>
      </c>
      <c r="V14" s="197">
        <f t="shared" si="7"/>
        <v>2501</v>
      </c>
      <c r="W14" s="197">
        <f t="shared" si="7"/>
        <v>152</v>
      </c>
      <c r="X14" s="197">
        <f t="shared" si="7"/>
        <v>173</v>
      </c>
      <c r="Y14" s="197">
        <f t="shared" si="7"/>
        <v>74</v>
      </c>
      <c r="Z14" s="197">
        <f t="shared" si="7"/>
        <v>97</v>
      </c>
      <c r="AA14" s="197">
        <f t="shared" si="7"/>
        <v>67</v>
      </c>
      <c r="AB14" s="197">
        <f t="shared" si="7"/>
        <v>104</v>
      </c>
      <c r="AC14" s="197">
        <f t="shared" si="7"/>
        <v>0</v>
      </c>
      <c r="AD14" s="197">
        <f t="shared" si="7"/>
        <v>0</v>
      </c>
      <c r="AE14" s="197">
        <f t="shared" si="7"/>
        <v>0</v>
      </c>
      <c r="AF14" s="197">
        <f>SUBTOTAL(9,AF9:AF13)</f>
        <v>0</v>
      </c>
      <c r="AG14" s="197">
        <f t="shared" ref="AG14:AT14" si="8">SUBTOTAL(9,AG8:AG13)</f>
        <v>31</v>
      </c>
      <c r="AH14" s="197">
        <f t="shared" si="8"/>
        <v>95</v>
      </c>
      <c r="AI14" s="197">
        <f t="shared" si="8"/>
        <v>70</v>
      </c>
      <c r="AJ14" s="197">
        <f t="shared" si="8"/>
        <v>56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2522</v>
      </c>
      <c r="AZ14" s="197">
        <f>SUBTOTAL(9,AZ8:AZ13)</f>
        <v>588</v>
      </c>
      <c r="BA14" s="197">
        <f>SUBTOTAL(9,BA8:BA13)</f>
        <v>553</v>
      </c>
      <c r="BB14" s="197">
        <f>SUBTOTAL(9,BB8:BB13)</f>
        <v>2557</v>
      </c>
      <c r="BC14" s="197">
        <f>SUBTOTAL(9,BC8:BC13)</f>
        <v>171</v>
      </c>
      <c r="BD14" s="219">
        <f>IF(ISNUMBER(BA14/AZ14),BA14/AZ14," - ")</f>
        <v>0.94047619047619047</v>
      </c>
      <c r="BE14" s="220">
        <f>IF(ISNUMBER(BB14/BA14),BB14/BA14, " - ")</f>
        <v>4.6238698010849912</v>
      </c>
      <c r="BF14" s="220">
        <f>IF(ISNUMBER(BC14/BA14),BC14/BA14, " - ")</f>
        <v>0.3092224231464738</v>
      </c>
      <c r="BG14" s="221">
        <f>IF(ISNUMBER((AY14+AZ14)/BA14),(AY14+AZ14)/BA14," - ")</f>
        <v>5.6238698010849912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1002</v>
      </c>
      <c r="J17" s="196">
        <v>558</v>
      </c>
      <c r="K17" s="196">
        <v>521</v>
      </c>
      <c r="L17" s="196">
        <v>1039</v>
      </c>
      <c r="M17" s="196">
        <v>127</v>
      </c>
      <c r="N17" s="196">
        <v>217</v>
      </c>
      <c r="O17" s="194">
        <v>12</v>
      </c>
      <c r="P17" s="196">
        <v>14</v>
      </c>
      <c r="Q17" s="196">
        <v>28</v>
      </c>
      <c r="R17" s="196">
        <v>117</v>
      </c>
      <c r="S17" s="196">
        <v>1180</v>
      </c>
      <c r="T17" s="196">
        <v>368</v>
      </c>
      <c r="U17" s="196">
        <v>484</v>
      </c>
      <c r="V17" s="196">
        <v>1064</v>
      </c>
      <c r="W17" s="196">
        <v>120</v>
      </c>
      <c r="X17" s="202">
        <v>252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1180</v>
      </c>
      <c r="AZ17" s="137">
        <f t="shared" si="10"/>
        <v>368</v>
      </c>
      <c r="BA17" s="137">
        <f t="shared" si="10"/>
        <v>484</v>
      </c>
      <c r="BB17" s="137">
        <f t="shared" si="10"/>
        <v>1064</v>
      </c>
      <c r="BC17" s="135">
        <f>IF(ISNUMBER(W17),W17," - ")</f>
        <v>120</v>
      </c>
      <c r="BD17" s="136">
        <f t="shared" ref="BD17:BD22" si="12">IF(ISNUMBER(BA17/AZ17),BA17/AZ17," - ")</f>
        <v>1.3152173913043479</v>
      </c>
      <c r="BE17" s="137">
        <f t="shared" ref="BE17:BE22" si="13">IF(ISNUMBER(BB17/BA17),BB17/BA17, " - ")</f>
        <v>2.1983471074380163</v>
      </c>
      <c r="BF17" s="137">
        <f t="shared" ref="BF17:BF22" si="14">IF(ISNUMBER(BC17/BA17),BC17/BA17, " - ")</f>
        <v>0.24793388429752067</v>
      </c>
      <c r="BG17" s="209">
        <f t="shared" si="11"/>
        <v>3.1983471074380163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53</v>
      </c>
      <c r="K18" s="196">
        <v>63</v>
      </c>
      <c r="L18" s="196">
        <v>93</v>
      </c>
      <c r="M18" s="196">
        <v>3</v>
      </c>
      <c r="N18" s="196">
        <v>32</v>
      </c>
      <c r="O18" s="196">
        <v>0</v>
      </c>
      <c r="P18" s="196">
        <v>0</v>
      </c>
      <c r="Q18" s="196">
        <v>0</v>
      </c>
      <c r="R18" s="196">
        <v>2</v>
      </c>
      <c r="S18" s="196">
        <v>72</v>
      </c>
      <c r="T18" s="196">
        <v>54</v>
      </c>
      <c r="U18" s="196">
        <v>63</v>
      </c>
      <c r="V18" s="196">
        <v>63</v>
      </c>
      <c r="W18" s="196">
        <v>3</v>
      </c>
      <c r="X18" s="202">
        <v>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54</v>
      </c>
      <c r="BA18" s="139">
        <f t="shared" si="15"/>
        <v>63</v>
      </c>
      <c r="BB18" s="139">
        <f t="shared" si="15"/>
        <v>63</v>
      </c>
      <c r="BC18" s="135">
        <f>IF(ISNUMBER(W18),W18," - ")</f>
        <v>3</v>
      </c>
      <c r="BD18" s="136">
        <f>IF(ISNUMBER(BA18/AZ18),BA18/AZ18," - ")</f>
        <v>1.1666666666666667</v>
      </c>
      <c r="BE18" s="137">
        <f>IF(ISNUMBER(BB18/BA18),BB18/BA18, " - ")</f>
        <v>1</v>
      </c>
      <c r="BF18" s="137">
        <f>IF(ISNUMBER(BC18/BA18),BC18/BA18, " - ")</f>
        <v>4.7619047619047616E-2</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1105</v>
      </c>
      <c r="J23" s="197">
        <f t="shared" si="21"/>
        <v>611</v>
      </c>
      <c r="K23" s="197">
        <f t="shared" si="21"/>
        <v>584</v>
      </c>
      <c r="L23" s="197">
        <f t="shared" si="21"/>
        <v>1132</v>
      </c>
      <c r="M23" s="197">
        <f t="shared" si="21"/>
        <v>130</v>
      </c>
      <c r="N23" s="197">
        <f t="shared" si="21"/>
        <v>249</v>
      </c>
      <c r="O23" s="197">
        <f t="shared" si="21"/>
        <v>12</v>
      </c>
      <c r="P23" s="197">
        <f t="shared" si="21"/>
        <v>14</v>
      </c>
      <c r="Q23" s="197">
        <f t="shared" si="21"/>
        <v>28</v>
      </c>
      <c r="R23" s="197">
        <f t="shared" si="21"/>
        <v>119</v>
      </c>
      <c r="S23" s="197">
        <f t="shared" si="21"/>
        <v>1252</v>
      </c>
      <c r="T23" s="197">
        <f t="shared" si="21"/>
        <v>422</v>
      </c>
      <c r="U23" s="197">
        <f t="shared" si="21"/>
        <v>547</v>
      </c>
      <c r="V23" s="197">
        <f t="shared" si="21"/>
        <v>1127</v>
      </c>
      <c r="W23" s="197">
        <f t="shared" si="21"/>
        <v>123</v>
      </c>
      <c r="X23" s="197">
        <f t="shared" si="21"/>
        <v>301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1252</v>
      </c>
      <c r="AZ23" s="197">
        <f>SUBTOTAL(9,AZ15:AZ22)</f>
        <v>422</v>
      </c>
      <c r="BA23" s="197">
        <f>SUBTOTAL(9,BA15:BA22)</f>
        <v>547</v>
      </c>
      <c r="BB23" s="197">
        <f>SUBTOTAL(9,BB15:BB22)</f>
        <v>1127</v>
      </c>
      <c r="BC23" s="197">
        <f>SUBTOTAL(9,BC15:BC22)</f>
        <v>123</v>
      </c>
      <c r="BD23" s="219">
        <f>IF(ISNUMBER(BA23/AZ23),BA23/AZ23," - ")</f>
        <v>1.2962085308056872</v>
      </c>
      <c r="BE23" s="220">
        <f>IF(ISNUMBER(BB23/BA23),BB23/BA23, " - ")</f>
        <v>2.0603290676416819</v>
      </c>
      <c r="BF23" s="220">
        <f>IF(ISNUMBER(BC23/BA23),BC23/BA23, " - ")</f>
        <v>0.22486288848263253</v>
      </c>
      <c r="BG23" s="221">
        <f>IF(ISNUMBER((AY23+AZ23)/BA23),(AY23+AZ23)/BA23," - ")</f>
        <v>3.0603290676416819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3648</v>
      </c>
      <c r="J31" s="144">
        <f t="shared" si="36"/>
        <v>1242</v>
      </c>
      <c r="K31" s="144">
        <f t="shared" si="36"/>
        <v>1211</v>
      </c>
      <c r="L31" s="144">
        <f t="shared" si="36"/>
        <v>3679</v>
      </c>
      <c r="M31" s="144">
        <f t="shared" si="36"/>
        <v>282</v>
      </c>
      <c r="N31" s="144">
        <f t="shared" si="36"/>
        <v>519</v>
      </c>
      <c r="O31" s="144">
        <f t="shared" si="36"/>
        <v>350</v>
      </c>
      <c r="P31" s="144">
        <f t="shared" si="36"/>
        <v>160</v>
      </c>
      <c r="Q31" s="144">
        <f t="shared" si="36"/>
        <v>232</v>
      </c>
      <c r="R31" s="144">
        <f t="shared" si="36"/>
        <v>2154</v>
      </c>
      <c r="S31" s="144">
        <f t="shared" si="36"/>
        <v>3743</v>
      </c>
      <c r="T31" s="144">
        <f t="shared" si="36"/>
        <v>915</v>
      </c>
      <c r="U31" s="144">
        <f t="shared" si="36"/>
        <v>1030</v>
      </c>
      <c r="V31" s="144">
        <f t="shared" si="36"/>
        <v>3628</v>
      </c>
      <c r="W31" s="144">
        <f t="shared" si="36"/>
        <v>275</v>
      </c>
      <c r="X31" s="144">
        <f t="shared" si="36"/>
        <v>474</v>
      </c>
      <c r="Y31" s="144">
        <f t="shared" si="36"/>
        <v>74</v>
      </c>
      <c r="Z31" s="144">
        <f t="shared" si="36"/>
        <v>97</v>
      </c>
      <c r="AA31" s="144">
        <f t="shared" si="36"/>
        <v>67</v>
      </c>
      <c r="AB31" s="144">
        <f t="shared" si="36"/>
        <v>104</v>
      </c>
      <c r="AC31" s="144">
        <f t="shared" si="36"/>
        <v>0</v>
      </c>
      <c r="AD31" s="144">
        <f t="shared" si="36"/>
        <v>0</v>
      </c>
      <c r="AE31" s="144">
        <f t="shared" si="36"/>
        <v>0</v>
      </c>
      <c r="AF31" s="144">
        <f t="shared" si="36"/>
        <v>0</v>
      </c>
      <c r="AG31" s="144">
        <f t="shared" si="36"/>
        <v>31</v>
      </c>
      <c r="AH31" s="144">
        <f t="shared" si="36"/>
        <v>95</v>
      </c>
      <c r="AI31" s="144">
        <f t="shared" si="36"/>
        <v>70</v>
      </c>
      <c r="AJ31" s="144">
        <f t="shared" si="36"/>
        <v>56</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3774</v>
      </c>
      <c r="AZ31" s="144">
        <f>SUBTOTAL(9,AZ9:AZ30)</f>
        <v>1010</v>
      </c>
      <c r="BA31" s="144">
        <f>SUBTOTAL(9,BA9:BA30)</f>
        <v>1100</v>
      </c>
      <c r="BB31" s="144">
        <f>SUBTOTAL(9,BB9:BB30)</f>
        <v>3684</v>
      </c>
      <c r="BC31" s="145">
        <f>SUBTOTAL(9,BC9:BC30)</f>
        <v>294</v>
      </c>
      <c r="BD31" s="227">
        <f>IF(ISNUMBER(BA31/AZ31),BA31/AZ31," - ")</f>
        <v>1.0891089108910892</v>
      </c>
      <c r="BE31" s="224">
        <f>IF(ISNUMBER(BB31/BA31),BB31/BA31, " - ")</f>
        <v>3.3490909090909091</v>
      </c>
      <c r="BF31" s="224">
        <f>IF(ISNUMBER(BC31/BA31),BC31/BA31, " - ")</f>
        <v>0.26727272727272727</v>
      </c>
      <c r="BG31" s="145">
        <f>IF(ISNUMBER((AY31+AZ31)/BA31),(AY31+AZ31)/BA31," - ")</f>
        <v>4.3490909090909087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fT8z1/x5jHUuUS+ykEWyzsNRsJEHPiLnpv7WI9/pOxyyNKyzAd54g+c0D0Tp7ZuCL9i0AZ7PFR6bd2xz4w9Q==" saltValue="Ni4P16CTXPOk39Ya2Ll3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GFXY0SZ60aBJS3zCwr9eZRXSCPoDVXJJ661CZxqQq4HR3tMdC6NxywvTSCoxBw5ibe5H+TnDfQO6HDekE1OFw==" saltValue="XZJ+sTLqSmMXsx9Go5qM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VILAGARCIA DE AROUSA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v>
      </c>
      <c r="AD10" s="549"/>
      <c r="AE10" s="563"/>
      <c r="AF10" s="551">
        <f>IF(ISNUMBER(Datos!L10),Datos!L10,"-")</f>
        <v>26</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15.600000000000001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v>
      </c>
      <c r="O12" s="549"/>
      <c r="P12" s="549"/>
      <c r="Q12" s="547">
        <f>IF(ISNUMBER(Datos!P12),Datos!P12,0)</f>
        <v>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104</v>
      </c>
      <c r="AI12" s="549" t="str">
        <f>IF(ISNUMBER(Datos!CD12),Datos!CD12,"-")</f>
        <v>-</v>
      </c>
      <c r="AJ12" s="549" t="str">
        <f>IF(ISNUMBER(Datos!EN12),Datos!EN12," - ")</f>
        <v xml:space="preserve"> - </v>
      </c>
      <c r="AK12" s="549"/>
      <c r="AL12" s="550"/>
      <c r="AM12" s="766">
        <f>IF(ISNUMBER(Datos!R12),Datos!R12," - ")</f>
        <v>2029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149</v>
      </c>
      <c r="BD12" s="693">
        <f>IF(ISNUMBER(Datos!N12),Datos!N12," - ")</f>
        <v>269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0.95034482758620686</v>
      </c>
      <c r="BH12" s="764">
        <f>IF(ISNUMBER(((IF(J_V="SI",Datos!L12/Datos!K12,(Datos!L12+Datos!AB12)/(Datos!K12+Datos!AA12)))*11)/factor_trimestre),((IF(J_V="SI",Datos!L12/Datos!K12,(Datos!L12+Datos!AB12)/(Datos!K12+Datos!AA12)))*11)/factor_trimestre," - ")</f>
        <v>11.429608127721336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-2.685851318944844E-2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97</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204</v>
      </c>
      <c r="AD14" s="1198">
        <f t="shared" si="2"/>
        <v>0</v>
      </c>
      <c r="AE14" s="1198">
        <f t="shared" si="2"/>
        <v>0</v>
      </c>
      <c r="AF14" s="1198">
        <f t="shared" si="2"/>
        <v>26</v>
      </c>
      <c r="AG14" s="1198">
        <f t="shared" si="2"/>
        <v>0</v>
      </c>
      <c r="AH14" s="1198">
        <f t="shared" si="2"/>
        <v>104</v>
      </c>
      <c r="AI14" s="1198">
        <f t="shared" si="2"/>
        <v>0</v>
      </c>
      <c r="AJ14" s="1198">
        <f t="shared" si="2"/>
        <v>0</v>
      </c>
      <c r="AK14" s="1198">
        <f t="shared" si="2"/>
        <v>0</v>
      </c>
      <c r="AL14" s="1198">
        <f t="shared" si="2"/>
        <v>0</v>
      </c>
      <c r="AM14" s="1198">
        <f t="shared" si="2"/>
        <v>2035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152</v>
      </c>
      <c r="BD14" s="1198">
        <f t="shared" si="2"/>
        <v>270</v>
      </c>
      <c r="BE14" s="1198">
        <f t="shared" si="2"/>
        <v>0</v>
      </c>
      <c r="BF14" s="1198">
        <f t="shared" si="2"/>
        <v>0</v>
      </c>
      <c r="BG14" s="1198">
        <f>IF(ISNUMBER(Datos!K14/Datos!J14),Datos!K14/Datos!J14," - ")</f>
        <v>0.99366085578446905</v>
      </c>
      <c r="BH14" s="1202">
        <f>IF(ISNUMBER(((Datos!L14/Datos!K14)*11)/factor_trimestre),((Datos!L14/Datos!K14)*11)/factor_trimestre," - ")</f>
        <v>12.186602870813397</v>
      </c>
      <c r="BI14" s="1198">
        <f>IF(ISNUMBER('Resol  Asuntos'!D14/NºAsuntos!G14),'Resol  Asuntos'!D14/NºAsuntos!G14," - ")</f>
        <v>0.21902017291066284</v>
      </c>
      <c r="BJ14" s="1198" t="str">
        <f>IF(ISNUMBER(Datos!CI14/Datos!CJ14),Datos!CI14/Datos!CJ14," - ")</f>
        <v xml:space="preserve"> - </v>
      </c>
      <c r="BK14" s="1198">
        <f>SUBTOTAL(9,BK8:BK13)</f>
        <v>0</v>
      </c>
      <c r="BL14" s="1198">
        <f>IF(ISNUMBER((I14-AB14+L14)/(F14)),(I14-AB14+L14)/(F14)," - ")</f>
        <v>-0.17857142857142858</v>
      </c>
      <c r="BM14" s="1203">
        <f>SUBTOTAL(9,BM9:BM13)</f>
        <v>-0.27685851318944843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1002</v>
      </c>
      <c r="G17" s="743">
        <f>IF(ISNUMBER(IF(D_I="SI",Datos!I17,Datos!I17+Datos!AC17)),IF(D_I="SI",Datos!I17,Datos!I17+Datos!AC17)," - ")</f>
        <v>1002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521</v>
      </c>
      <c r="AC17" s="240">
        <f>IF(ISNUMBER(Datos!Q17),Datos!Q17," - ")</f>
        <v>28</v>
      </c>
      <c r="AD17" s="374"/>
      <c r="AE17" s="562"/>
      <c r="AF17" s="741">
        <f>IF(ISNUMBER(IF(D_I="SI",Datos!L17,Datos!L17+Datos!AF17)),IF(D_I="SI",Datos!L17,Datos!L17+Datos!AF17)," - ")</f>
        <v>1039</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217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0.93369175627240142</v>
      </c>
      <c r="BH17" s="764">
        <f>IF(ISNUMBER(((IF(D_I="SI",Datos!L17/Datos!K17,(Datos!L17+Datos!AF17)/(Datos!K17+Datos!AE17)))*11)/factor_trimestre),((IF(D_I="SI",Datos!L17/Datos!K17,(Datos!L17+Datos!AF17)/(Datos!K17+Datos!AE17)))*11)/factor_trimestre," - ")</f>
        <v>5.9827255278310938</v>
      </c>
      <c r="BI17" s="266">
        <f>IF(ISNUMBER('Resol  Asuntos'!D17/NºAsuntos!G17),'Resol  Asuntos'!D17/NºAsuntos!G17," - ")</f>
        <v>0.2437619961612284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63</v>
      </c>
      <c r="AC18" s="547">
        <f>IF(ISNUMBER(Datos!Q18),Datos!Q18," - ")</f>
        <v>0</v>
      </c>
      <c r="AD18" s="549"/>
      <c r="AE18" s="562"/>
      <c r="AF18" s="551">
        <f>IF(ISNUMBER(Datos!L18),Datos!L18,"-")</f>
        <v>93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1.1886792452830188</v>
      </c>
      <c r="BH18" s="764">
        <f>IF(ISNUMBER(((IF(D_I="SI",Datos!L18/Datos!K18,(Datos!L18+Datos!AF18)/(Datos!K18+Datos!AE18)))*11)/factor_trimestre),((IF(D_I="SI",Datos!L18/Datos!K18,(Datos!L18+Datos!AF18)/(Datos!K18+Datos!AE18)))*11)/factor_trimestre," - ")</f>
        <v>4.4285714285714297</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1002</v>
      </c>
      <c r="G23" s="1197">
        <f>SUBTOTAL(9,G16:G22)</f>
        <v>1105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584</v>
      </c>
      <c r="AC23" s="1198">
        <f t="shared" si="5"/>
        <v>28</v>
      </c>
      <c r="AD23" s="1198">
        <f t="shared" si="5"/>
        <v>0</v>
      </c>
      <c r="AE23" s="1198">
        <f t="shared" si="5"/>
        <v>0</v>
      </c>
      <c r="AF23" s="1198">
        <f t="shared" si="5"/>
        <v>1132</v>
      </c>
      <c r="AG23" s="1198">
        <f t="shared" si="5"/>
        <v>0</v>
      </c>
      <c r="AH23" s="1198">
        <f t="shared" si="5"/>
        <v>0</v>
      </c>
      <c r="AI23" s="1198">
        <f t="shared" si="5"/>
        <v>0</v>
      </c>
      <c r="AJ23" s="1198">
        <f t="shared" si="5"/>
        <v>0</v>
      </c>
      <c r="AK23" s="1198">
        <f t="shared" si="5"/>
        <v>0</v>
      </c>
      <c r="AL23" s="1198">
        <f t="shared" si="5"/>
        <v>0</v>
      </c>
      <c r="AM23" s="1198">
        <f t="shared" si="5"/>
        <v>119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130</v>
      </c>
      <c r="BD23" s="1198">
        <f t="shared" si="5"/>
        <v>249</v>
      </c>
      <c r="BE23" s="1198">
        <f t="shared" si="5"/>
        <v>0</v>
      </c>
      <c r="BF23" s="1198">
        <f t="shared" si="5"/>
        <v>0</v>
      </c>
      <c r="BG23" s="1198">
        <f>IF(ISNUMBER(Datos!K23/Datos!J23),Datos!K23/Datos!J23," - ")</f>
        <v>0.95581014729950897</v>
      </c>
      <c r="BH23" s="1202">
        <f>IF(ISNUMBER(((Datos!L23/Datos!K23)*11)/factor_trimestre),((Datos!L23/Datos!K23)*11)/factor_trimestre," - ")</f>
        <v>5.8150684931506849</v>
      </c>
      <c r="BI23" s="1198">
        <f>SUBTOTAL(9,BI16:BI22)</f>
        <v>0.29138104378027602</v>
      </c>
      <c r="BJ23" s="1198">
        <f>SUBTOTAL(9,BJ16:BJ22)</f>
        <v>0</v>
      </c>
      <c r="BK23" s="1198">
        <f>SUBTOTAL(9,BK16:BK22)</f>
        <v>0</v>
      </c>
      <c r="BL23" s="1198">
        <f>IF(ISNUMBER((I23-AB23+L23)/(F23)),(I23-AB23+L23)/(F23)," - ")</f>
        <v>-0.58283433133732532</v>
      </c>
      <c r="BM23" s="1205">
        <f>IF(ISNUMBER((Datos!P23-Datos!Q23)/(Datos!R23-Datos!P23+Datos!Q23)),(Datos!P23-Datos!Q23)/(Datos!R23-Datos!P23+Datos!Q23)," - ")</f>
        <v>-0.10526315789473684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1030</v>
      </c>
      <c r="G31" s="1117">
        <f t="shared" si="18"/>
        <v>1133</v>
      </c>
      <c r="H31" s="1119">
        <f t="shared" si="18"/>
        <v>0</v>
      </c>
      <c r="I31" s="1117">
        <f t="shared" si="18"/>
        <v>0</v>
      </c>
      <c r="J31" s="1119">
        <f t="shared" si="18"/>
        <v>0</v>
      </c>
      <c r="K31" s="1119">
        <f t="shared" si="18"/>
        <v>0</v>
      </c>
      <c r="L31" s="1180">
        <f t="shared" si="18"/>
        <v>0</v>
      </c>
      <c r="M31" s="1180">
        <f t="shared" si="18"/>
        <v>0</v>
      </c>
      <c r="N31" s="1180">
        <f t="shared" si="18"/>
        <v>97</v>
      </c>
      <c r="O31" s="1180">
        <f t="shared" si="18"/>
        <v>0</v>
      </c>
      <c r="P31" s="1180">
        <f t="shared" si="18"/>
        <v>0</v>
      </c>
      <c r="Q31" s="1119">
        <f t="shared" si="18"/>
        <v>160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589</v>
      </c>
      <c r="AC31" s="1118">
        <f t="shared" si="19"/>
        <v>232</v>
      </c>
      <c r="AD31" s="1118">
        <f t="shared" si="19"/>
        <v>0</v>
      </c>
      <c r="AE31" s="1118">
        <f t="shared" si="19"/>
        <v>0</v>
      </c>
      <c r="AF31" s="1125">
        <f t="shared" si="19"/>
        <v>1158</v>
      </c>
      <c r="AG31" s="1125">
        <f t="shared" si="19"/>
        <v>0</v>
      </c>
      <c r="AH31" s="1125">
        <f t="shared" si="19"/>
        <v>104</v>
      </c>
      <c r="AI31" s="1125">
        <f t="shared" si="19"/>
        <v>0</v>
      </c>
      <c r="AJ31" s="1118">
        <f t="shared" si="19"/>
        <v>0</v>
      </c>
      <c r="AK31" s="1125">
        <f t="shared" si="19"/>
        <v>0</v>
      </c>
      <c r="AL31" s="1125">
        <f t="shared" si="19"/>
        <v>0</v>
      </c>
      <c r="AM31" s="1125">
        <f t="shared" si="19"/>
        <v>2154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282</v>
      </c>
      <c r="BD31" s="1117">
        <f t="shared" si="19"/>
        <v>519</v>
      </c>
      <c r="BE31" s="1117">
        <f t="shared" si="19"/>
        <v>0</v>
      </c>
      <c r="BF31" s="1127">
        <f t="shared" si="19"/>
        <v>0</v>
      </c>
      <c r="BG31" s="1223">
        <f>IF(ISNUMBER(Datos!K31/Datos!J31),Datos!K31/Datos!J31," - ")</f>
        <v>0.9750402576489533</v>
      </c>
      <c r="BH31" s="1223">
        <f>IF(ISNUMBER(((Datos!L31/Datos!K31)*11)/factor_trimestre),((Datos!L31/Datos!K31)*11)/factor_trimestre," - ")</f>
        <v>9.1139554087530961</v>
      </c>
      <c r="BI31" s="1103">
        <f>IF(ISNUMBER(Datos!J31/Datos!I31),Datos!J31/Datos!I31," - ")</f>
        <v>0.34046052631578949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-0.57184466019417479</v>
      </c>
      <c r="BM31" s="1188">
        <f>IF(ISNUMBER((Datos!P31-Datos!Q31+R31)/(Datos!R31-Datos!P31+Datos!Q31-R31)),(Datos!P31-Datos!Q31+R31)/(Datos!R31-Datos!P31+Datos!Q31-R31)," - ")</f>
        <v>-3.2345013477088951E-2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510.35464793285337</v>
      </c>
      <c r="G33" s="674">
        <f>IF(ISNUMBER(STDEV(G8:G30)),STDEV(G8:G30),"-")</f>
        <v>500.61119786574034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264.03138341600879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74.248617110739133</v>
      </c>
      <c r="BD33" s="673"/>
      <c r="BE33" s="673">
        <f>IF(ISNUMBER(STDEV(BE8:BE30)),STDEV(BE8:BE30),"-")</f>
        <v>0</v>
      </c>
      <c r="BF33" s="678">
        <f>IF(ISNUMBER(STDEV(BF8:BF30)),STDEV(BF8:BF30),"-")</f>
        <v>0</v>
      </c>
      <c r="BG33" s="1052">
        <f>IF(ISNUMBER(STDEV(BG8:BG30)),STDEV(BG8:BG30),"-")</f>
        <v>0.28629115438206826</v>
      </c>
      <c r="BH33" s="1058">
        <f>IF(ISNUMBER(STDEV(BH8:BH30)),STDEV(BH8:BH30),"-")</f>
        <v>4.4590646740439439</v>
      </c>
      <c r="BI33" s="273">
        <f>IF(ISNUMBER(STDEV(BI8:BI30)),STDEV(BI8:BI30),"-")</f>
        <v>0.10621759895511493</v>
      </c>
      <c r="BJ33" s="244" t="str">
        <f>IF(ISNUMBER(BL33/BM33),BL33/BM33," - ")</f>
        <v xml:space="preserve"> - </v>
      </c>
      <c r="BK33" s="709"/>
      <c r="BL33" s="681">
        <f>IF(ISNUMBER(STDEV(BL8:BL30)),STDEV(BL8:BL30),"-")</f>
        <v>0.2858570399279235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KrpXOmuNzA19p6O+rmPae8wLH8zUfUkAJ0hDGsajb5LMzN/wkShTbyQJzqO3TWWv7aE4ddwJTVTXthGCXXp/w==" saltValue="mkWNiUGpAD2bPxrMjEJz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VILAGARCIA DE AROUSA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v>
      </c>
      <c r="AA10" s="551">
        <f>IF(ISNUMBER(Datos!L10),Datos!L10,"-")</f>
        <v>26</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15.600000000000001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202</v>
      </c>
      <c r="AA12" s="551" t="str">
        <f>IF(ISNUMBER(IF(J_V="SI",Datos!L12,Datos!L12+Datos!AB12)-IF(Monitorios="SI",Datos!CD12,0)),
                          IF(J_V="SI",Datos!L12,Datos!L12+Datos!AB12)-IF(Monitorios="SI",Datos!CD12,0),
                          " - ")</f>
        <v xml:space="preserve"> - </v>
      </c>
      <c r="AB12" s="549"/>
      <c r="AC12" s="549"/>
      <c r="AD12" s="563"/>
      <c r="AE12" s="563">
        <f>IF(ISNUMBER(Datos!R12),Datos!R12," - ")</f>
        <v>2029</v>
      </c>
      <c r="AF12" s="693" t="str">
        <f>IF(ISNUMBER(Datos!BV12),Datos!BV12," - ")</f>
        <v xml:space="preserve"> - </v>
      </c>
      <c r="AG12" s="552" t="str">
        <f>IF(ISNUMBER(Datos!DV12),Datos!DV12," - ")</f>
        <v xml:space="preserve"> - </v>
      </c>
      <c r="AH12" s="553"/>
      <c r="AI12" s="554"/>
      <c r="AJ12" s="552">
        <f>IF(ISNUMBER(Datos!M12),Datos!M12," - ")</f>
        <v>149</v>
      </c>
      <c r="AK12" s="693">
        <f>IF(ISNUMBER(Datos!N12),Datos!N12," - ")</f>
        <v>269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11.429608127721336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-2.685851318944844E-2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204</v>
      </c>
      <c r="AA14" s="1199">
        <f t="shared" si="3"/>
        <v>26</v>
      </c>
      <c r="AB14" s="1199">
        <f t="shared" si="3"/>
        <v>0</v>
      </c>
      <c r="AC14" s="1199">
        <f t="shared" si="3"/>
        <v>0</v>
      </c>
      <c r="AD14" s="1199">
        <f t="shared" si="3"/>
        <v>0</v>
      </c>
      <c r="AE14" s="1199">
        <f t="shared" si="3"/>
        <v>2035</v>
      </c>
      <c r="AF14" s="1211">
        <f t="shared" si="3"/>
        <v>0</v>
      </c>
      <c r="AG14" s="1211">
        <f t="shared" si="3"/>
        <v>0</v>
      </c>
      <c r="AH14" s="1211">
        <f t="shared" si="3"/>
        <v>0</v>
      </c>
      <c r="AI14" s="1211">
        <f t="shared" si="3"/>
        <v>0</v>
      </c>
      <c r="AJ14" s="1211">
        <f t="shared" si="3"/>
        <v>152</v>
      </c>
      <c r="AK14" s="1211">
        <f t="shared" si="3"/>
        <v>270</v>
      </c>
      <c r="AL14" s="1211">
        <f t="shared" si="3"/>
        <v>0</v>
      </c>
      <c r="AM14" s="1211">
        <f t="shared" si="3"/>
        <v>0</v>
      </c>
      <c r="AN14" s="1211">
        <f t="shared" si="3"/>
        <v>0</v>
      </c>
      <c r="AO14" s="1203">
        <f>IF(ISNUMBER(((NºAsuntos!I14/NºAsuntos!G14)*11)/factor_trimestre),((NºAsuntos!I14/NºAsuntos!G14)*11)/factor_trimestre," - ")</f>
        <v>11.459654178674352</v>
      </c>
      <c r="AP14" s="1213" t="str">
        <f>IF(ISNUMBER(Datos!CI14/Datos!CJ14),Datos!CI14/Datos!CJ14," - ")</f>
        <v xml:space="preserve"> - </v>
      </c>
      <c r="AQ14" s="1236">
        <f t="shared" ref="AQ14:AV14" si="4">SUBTOTAL(9,AQ9:AQ13)</f>
        <v>0</v>
      </c>
      <c r="AR14" s="1236">
        <f t="shared" si="4"/>
        <v>-0.27685851318944843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1002</v>
      </c>
      <c r="G17" s="552">
        <f>IF(ISNUMBER(IF(D_I="SI",Datos!I17,Datos!I17+Datos!AC17)),IF(D_I="SI",Datos!I17,Datos!I17+Datos!AC17)," - ")</f>
        <v>1002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521</v>
      </c>
      <c r="Z17" s="805">
        <f>IF(ISNUMBER(Datos!Q17),Datos!Q17," - ")</f>
        <v>28</v>
      </c>
      <c r="AA17" s="551">
        <f>IF(ISNUMBER(IF(D_I="SI",Datos!L17,Datos!L17+Datos!AF17)),IF(D_I="SI",Datos!L17,Datos!L17+Datos!AF17)," - ")</f>
        <v>1039</v>
      </c>
      <c r="AB17" s="549"/>
      <c r="AC17" s="549"/>
      <c r="AD17" s="563"/>
      <c r="AE17" s="563">
        <f>IF(ISNUMBER(Datos!R17),Datos!R17," - ")</f>
        <v>117</v>
      </c>
      <c r="AF17" s="693" t="str">
        <f>IF(ISNUMBER(Datos!BV17),Datos!BV17," - ")</f>
        <v xml:space="preserve"> - </v>
      </c>
      <c r="AG17" s="552"/>
      <c r="AH17" s="553"/>
      <c r="AI17" s="554"/>
      <c r="AJ17" s="552">
        <f>IF(ISNUMBER(Datos!M17),Datos!M17," - ")</f>
        <v>127</v>
      </c>
      <c r="AK17" s="693">
        <f>IF(ISNUMBER(Datos!N17),Datos!N17," - ")</f>
        <v>217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5.9827255278310938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63</v>
      </c>
      <c r="Z18" s="805">
        <f>IF(ISNUMBER(Datos!Q18),Datos!Q18," - ")</f>
        <v>0</v>
      </c>
      <c r="AA18" s="551">
        <f>IF(ISNUMBER(Datos!L18),Datos!L18,"-")</f>
        <v>93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4.4285714285714297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1002</v>
      </c>
      <c r="G23" s="1197">
        <f>SUBTOTAL(9,G16:G22)</f>
        <v>1105</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584</v>
      </c>
      <c r="Z23" s="1240">
        <f t="shared" si="6"/>
        <v>28</v>
      </c>
      <c r="AA23" s="1240">
        <f t="shared" si="6"/>
        <v>1132</v>
      </c>
      <c r="AB23" s="1240">
        <f t="shared" si="6"/>
        <v>0</v>
      </c>
      <c r="AC23" s="1240">
        <f t="shared" si="6"/>
        <v>0</v>
      </c>
      <c r="AD23" s="1240">
        <f t="shared" si="6"/>
        <v>0</v>
      </c>
      <c r="AE23" s="1240">
        <f t="shared" si="6"/>
        <v>119</v>
      </c>
      <c r="AF23" s="1240">
        <f t="shared" si="6"/>
        <v>0</v>
      </c>
      <c r="AG23" s="1240">
        <f t="shared" si="6"/>
        <v>0</v>
      </c>
      <c r="AH23" s="1240">
        <f t="shared" si="6"/>
        <v>0</v>
      </c>
      <c r="AI23" s="1240">
        <f t="shared" si="6"/>
        <v>0</v>
      </c>
      <c r="AJ23" s="1240">
        <f t="shared" si="6"/>
        <v>130</v>
      </c>
      <c r="AK23" s="1240">
        <f t="shared" si="6"/>
        <v>249</v>
      </c>
      <c r="AL23" s="1240">
        <f t="shared" si="6"/>
        <v>0</v>
      </c>
      <c r="AM23" s="1240">
        <f t="shared" si="6"/>
        <v>0</v>
      </c>
      <c r="AN23" s="1240">
        <f t="shared" si="6"/>
        <v>0</v>
      </c>
      <c r="AO23" s="1242">
        <f>IF(ISNUMBER(((NºAsuntos!I23/NºAsuntos!G23)*11)/factor_trimestre),((NºAsuntos!I23/NºAsuntos!G23)*11)/factor_trimestre," - ")</f>
        <v>5.8150684931506849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1030</v>
      </c>
      <c r="G31" s="1117">
        <f t="shared" si="12"/>
        <v>1133</v>
      </c>
      <c r="H31" s="1118">
        <f t="shared" si="12"/>
        <v>0</v>
      </c>
      <c r="I31" s="1117">
        <f t="shared" si="12"/>
        <v>0</v>
      </c>
      <c r="J31" s="1119">
        <f t="shared" si="12"/>
        <v>0</v>
      </c>
      <c r="K31" s="1117">
        <f t="shared" si="12"/>
        <v>0</v>
      </c>
      <c r="L31" s="1120">
        <f t="shared" si="12"/>
        <v>0</v>
      </c>
      <c r="M31" s="1117">
        <f t="shared" si="12"/>
        <v>0</v>
      </c>
      <c r="N31" s="1118">
        <f t="shared" si="12"/>
        <v>160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589</v>
      </c>
      <c r="Z31" s="1124">
        <f t="shared" si="13"/>
        <v>232</v>
      </c>
      <c r="AA31" s="1125">
        <f t="shared" si="13"/>
        <v>1158</v>
      </c>
      <c r="AB31" s="1125">
        <f t="shared" si="13"/>
        <v>0</v>
      </c>
      <c r="AC31" s="1125">
        <f t="shared" si="13"/>
        <v>0</v>
      </c>
      <c r="AD31" s="1126">
        <f t="shared" si="13"/>
        <v>0</v>
      </c>
      <c r="AE31" s="1126">
        <f t="shared" si="13"/>
        <v>2154</v>
      </c>
      <c r="AF31" s="1127">
        <f t="shared" si="13"/>
        <v>0</v>
      </c>
      <c r="AG31" s="1128">
        <f t="shared" si="13"/>
        <v>0</v>
      </c>
      <c r="AH31" s="1129">
        <f t="shared" si="13"/>
        <v>0</v>
      </c>
      <c r="AI31" s="1127">
        <f t="shared" si="13"/>
        <v>0</v>
      </c>
      <c r="AJ31" s="1117">
        <f t="shared" si="13"/>
        <v>282</v>
      </c>
      <c r="AK31" s="1117">
        <f t="shared" si="13"/>
        <v>519</v>
      </c>
      <c r="AL31" s="1117">
        <f t="shared" si="13"/>
        <v>0</v>
      </c>
      <c r="AM31" s="1130">
        <f t="shared" si="13"/>
        <v>0</v>
      </c>
      <c r="AN31" s="1120">
        <f>IF(ISNUMBER(Datos!K31/Datos!J31),Datos!K31/Datos!J31," - ")</f>
        <v>0.9750402576489533</v>
      </c>
      <c r="AO31" s="1120">
        <f>IF(ISNUMBER(FIND("06",Criterios!A8,1)),(IF(ISNUMBER(((Datos!R31/Datos!Q31)*11)/factor_trimestre),((Datos!R31/Datos!Q31)*11)/factor_trimestre," - ")),(IF(ISNUMBER(((Datos!L31/Datos!K31)*11)/factor_trimestre),((Datos!L31/Datos!K31)*11)/factor_trimestre," - ")))</f>
        <v>9.1139554087530961</v>
      </c>
      <c r="AP31" s="1131" t="str">
        <f>IF(ISNUMBER(Datos!CI31/Datos!CJ31),Datos!CI31/Datos!CJ31," - ")</f>
        <v xml:space="preserve"> - </v>
      </c>
      <c r="AQ31" s="1131">
        <f>IF(OR(ISNUMBER(FIND("01",Criterios!A8,1)),ISNUMBER(FIND("02",Criterios!A8,1)),ISNUMBER(FIND("03",Criterios!A8,1)),ISNUMBER(FIND("04",Criterios!A8,1))),(J31-Y31+K31)/(F31-K31),(I31-Y31+K31)/(F31-K31))</f>
        <v>-0.57184466019417479</v>
      </c>
      <c r="AR31" s="1131">
        <f>IF(ISNUMBER((Datos!P31-Datos!Q31+O31)/(Datos!R31-Datos!P31+Datos!Q31-O31)),(Datos!P31-Datos!Q31+O31)/(Datos!R31-Datos!P31+Datos!Q31-O31)," - ")</f>
        <v>-3.2345013477088951E-2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510.35464793285337</v>
      </c>
      <c r="G33" s="674">
        <f>IF(ISNUMBER(STDEV(G8:G30)),STDEV(G8:G30),"-")</f>
        <v>500.61119786574034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74.248617110739133</v>
      </c>
      <c r="AK33" s="276"/>
      <c r="AL33" s="276">
        <f>IF(ISNUMBER(STDEV(AL8:AL30)),STDEV(AL8:AL30),"-")</f>
        <v>0</v>
      </c>
      <c r="AM33" s="278">
        <f>IF(ISNUMBER(STDEV(AM8:AM30)),STDEV(AM8:AM30),"-")</f>
        <v>0</v>
      </c>
      <c r="AN33" s="660">
        <f>IF(ISNUMBER(STDEV(AN8:AN30)),STDEV(AN8:AN30),"-")</f>
        <v>0</v>
      </c>
      <c r="AO33" s="661">
        <f>IF(ISNUMBER(STDEV(AO8:AO30)),STDEV(AO8:AO30),"-")</f>
        <v>4.3720300459361621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BgpnL8haWlxAynsl4zWhvYlcXlV/yRxmR7x94M90qi94Z/qFAgbPLiAM4FrKVM+KVH/2pe6pHOxdykIj2+ZbA==" saltValue="5LYUMDQilS0LURhmsjjR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9VV/htO4VnkNY1qt1pFm5jC4611+lElQ2I2oyfV5IQ9w/lPYXS4Y+mTMyrGzy48N2qbuzjKL7Hm/5iNqyIB2Q==" saltValue="V3ZmB02T3QxFq/le2IFF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xw27UQw1NMTG9D8PXzPTDv5r/iIgNOS+q/gi7QmzyKn/KRAW0CC2zJZl74oeA3Jj3MUnKUdjTZicHeBQniRg==" saltValue="AIAYjPtzOI3kF5QIDadL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VILAGARCIA DE AROUSA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0.21902017291066284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0.15487064948177987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MrxmET0PkXCz72Mkx88gmO0zPvCJqU14I94cHXxqsrQutuY2qWgBySoit5BERu3fvO5GfOQd3VHMs+DSm9cmw==" saltValue="gZnDKGa93SHgVmmsyZBi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G3KavTupgtqGd10DCbbi5Kv4ulnKMc0eRU+N+2K235CK91f6hO38vMrsN7DkhMPk6vbVRKDZf6tfP3zUN2Sug==" saltValue="l2KejccWmITFk6iqUa5x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VILAGARCIA DE AROUSA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3</v>
      </c>
      <c r="F10" s="452">
        <f>IF(ISNUMBER(E10/B10),E10/B10," - ")</f>
        <v>3</v>
      </c>
      <c r="G10" s="451">
        <f>IF(ISNUMBER(Datos!K10),Datos!K10," - ")</f>
        <v>5</v>
      </c>
      <c r="H10" s="452">
        <f>IF(ISNUMBER(G10/B10),G10/B10," - ")</f>
        <v>5</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2589</v>
      </c>
      <c r="D12" s="452">
        <f>IF(ISNUMBER(C12/Datos!BH12),C12/Datos!BH12," - ")</f>
        <v>863</v>
      </c>
      <c r="E12" s="451">
        <f>IF(ISNUMBER(IF(J_V="SI",Datos!J12,Datos!J12+Datos!Z12)),IF(J_V="SI",Datos!J12,Datos!J12+Datos!Z12)," - ")</f>
        <v>725</v>
      </c>
      <c r="F12" s="452">
        <f>IF(ISNUMBER(E12/B12),E12/B12," - ")</f>
        <v>241.66666666666666</v>
      </c>
      <c r="G12" s="451">
        <f>IF(ISNUMBER(IF(J_V="SI",Datos!K12,Datos!K12+Datos!AA12)),IF(J_V="SI",Datos!K12,Datos!K12+Datos!AA12)," - ")</f>
        <v>689</v>
      </c>
      <c r="H12" s="452">
        <f>IF(ISNUMBER(G12/B12),G12/B12," - ")</f>
        <v>229.66666666666666</v>
      </c>
      <c r="I12" s="451">
        <f>IF(ISNUMBER(IF(J_V="SI",Datos!L12,Datos!L12+Datos!AB12)),IF(J_V="SI",Datos!L12,Datos!L12+Datos!AB12)," - ")</f>
        <v>2625</v>
      </c>
      <c r="J12" s="452">
        <f>IF(ISNUMBER(I12/B12),I12/B12," - ")</f>
        <v>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2617</v>
      </c>
      <c r="D14" s="1147" t="str">
        <f>IF(ISNUMBER(C14/Datos!BI14),C14/Datos!BI14," - ")</f>
        <v xml:space="preserve"> - </v>
      </c>
      <c r="E14" s="1146">
        <f>SUBTOTAL(9,E8:E13)</f>
        <v>728</v>
      </c>
      <c r="F14" s="1147">
        <f>IF(ISNUMBER(E14/B14),E14/B14," - ")</f>
        <v>242.66666666666666</v>
      </c>
      <c r="G14" s="1146">
        <f>SUBTOTAL(9,G8:G13)</f>
        <v>694</v>
      </c>
      <c r="H14" s="1147">
        <f>IF(ISNUMBER(G14/B14),G14/B14," - ")</f>
        <v>231.33333333333334</v>
      </c>
      <c r="I14" s="1146">
        <f>SUBTOTAL(9,I8:I13)</f>
        <v>2651</v>
      </c>
      <c r="J14" s="1147">
        <f>IF(ISNUMBER(I14/B14),I14/B14," - ")</f>
        <v>883.66666666666663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1002</v>
      </c>
      <c r="D17" s="452">
        <f>IF(ISNUMBER(C17/Datos!BH17),C17/Datos!BH17," - ")</f>
        <v>334</v>
      </c>
      <c r="E17" s="451">
        <f>IF(ISNUMBER(IF(D_I="SI",Datos!J17,Datos!J17+Datos!AD17)),IF(D_I="SI",Datos!J17,Datos!J17+Datos!AD17)," - ")</f>
        <v>558</v>
      </c>
      <c r="F17" s="452">
        <f>IF(ISNUMBER(E17/B17),E17/B17," - ")</f>
        <v>186</v>
      </c>
      <c r="G17" s="451">
        <f>IF(ISNUMBER(IF(D_I="SI",Datos!K17,Datos!K17+Datos!AE17)),IF(D_I="SI",Datos!K17,Datos!K17+Datos!AE17)," - ")</f>
        <v>521</v>
      </c>
      <c r="H17" s="452">
        <f>IF(ISNUMBER(G17/B17),G17/B17," - ")</f>
        <v>173.66666666666666</v>
      </c>
      <c r="I17" s="451">
        <f>IF(ISNUMBER(IF(D_I="SI",Datos!L17,Datos!L17+Datos!AF17)),IF(D_I="SI",Datos!L17,Datos!L17+Datos!AF17)," - ")</f>
        <v>1039</v>
      </c>
      <c r="J17" s="452">
        <f>IF(ISNUMBER(I17/B17),I17/B17," - ")</f>
        <v>346.33333333333331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53</v>
      </c>
      <c r="F18" s="452">
        <f>IF(ISNUMBER(E18/B18),E18/B18," - ")</f>
        <v>53</v>
      </c>
      <c r="G18" s="451">
        <f>IF(ISNUMBER(IF(D_I="SI",Datos!K18,Datos!K18+Datos!AE18)),IF(D_I="SI",Datos!K18,Datos!K18+Datos!AE18)," - ")</f>
        <v>63</v>
      </c>
      <c r="H18" s="452">
        <f>IF(ISNUMBER(G18/B18),G18/B18," - ")</f>
        <v>63</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1105</v>
      </c>
      <c r="D23" s="1147" t="str">
        <f>IF(ISNUMBER(C23/Datos!BI23),C23/Datos!BI23," - ")</f>
        <v xml:space="preserve"> - </v>
      </c>
      <c r="E23" s="1146">
        <f>SUBTOTAL(9,E15:E22)</f>
        <v>611</v>
      </c>
      <c r="F23" s="1147">
        <f>IF(ISNUMBER(E23/B23),E23/B23," - ")</f>
        <v>203.66666666666666</v>
      </c>
      <c r="G23" s="1146">
        <f>SUBTOTAL(9,G15:G22)</f>
        <v>584</v>
      </c>
      <c r="H23" s="1147">
        <f>IF(ISNUMBER(G23/B23),G23/B23," - ")</f>
        <v>194.66666666666666</v>
      </c>
      <c r="I23" s="1146">
        <f>SUBTOTAL(9,I15:I22)</f>
        <v>1132</v>
      </c>
      <c r="J23" s="1147">
        <f>IF(ISNUMBER(I23/B23),I23/B23," - ")</f>
        <v>377.33333333333331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3722</v>
      </c>
      <c r="D31" s="1085" t="str">
        <f>IF(ISNUMBER(C31/Datos!BI31),C31/Datos!BI31," - ")</f>
        <v xml:space="preserve"> - </v>
      </c>
      <c r="E31" s="1084">
        <f>SUBTOTAL(9,E9:E30)</f>
        <v>1339</v>
      </c>
      <c r="F31" s="1085">
        <f>IF(ISNUMBER(E31/B31),E31/B31," - ")</f>
        <v>446.33333333333331</v>
      </c>
      <c r="G31" s="1084">
        <f>SUBTOTAL(9,G9:G30)</f>
        <v>1278</v>
      </c>
      <c r="H31" s="1085">
        <f>IF(ISNUMBER(G31/B31),G31/B31," - ")</f>
        <v>426</v>
      </c>
      <c r="I31" s="1084">
        <f>SUBTOTAL(9,I9:I30)</f>
        <v>3783</v>
      </c>
      <c r="J31" s="1085">
        <f>IF(ISNUMBER(I31/B31),I31/B31," - ")</f>
        <v>1261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MdyHJRSRrGppt0nc3i1Dr6c77h1++mlIq1tpq5VKxUzE7GYgsNp8KL1ofeWo+1u4X7XvV1a6V3oCpB8tiB+LA==" saltValue="iPsmbunWq8O1GhEYCa/t8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VILAGARCIA DE AROUSA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15.600000000000001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149</v>
      </c>
      <c r="AM12" s="914">
        <f>IF(ISNUMBER(Datos!N12+DatosP!N17),Datos!N12+DatosP!N17," - ")</f>
        <v>269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11.429608127721336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-2.685851318944844E-2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202</v>
      </c>
      <c r="AE14" s="1257">
        <f t="shared" si="1"/>
        <v>0</v>
      </c>
      <c r="AF14" s="1257">
        <f t="shared" si="1"/>
        <v>26</v>
      </c>
      <c r="AG14" s="1257">
        <f t="shared" si="1"/>
        <v>0</v>
      </c>
      <c r="AH14" s="1257">
        <f t="shared" si="1"/>
        <v>2029</v>
      </c>
      <c r="AI14" s="1257">
        <f t="shared" si="1"/>
        <v>0</v>
      </c>
      <c r="AJ14" s="1257">
        <f t="shared" si="1"/>
        <v>0</v>
      </c>
      <c r="AK14" s="1257">
        <f t="shared" si="1"/>
        <v>0</v>
      </c>
      <c r="AL14" s="1257">
        <f t="shared" si="1"/>
        <v>152</v>
      </c>
      <c r="AM14" s="1257">
        <f t="shared" si="1"/>
        <v>270</v>
      </c>
      <c r="AN14" s="1257">
        <f t="shared" si="1"/>
        <v>0</v>
      </c>
      <c r="AO14" s="1257">
        <f t="shared" si="1"/>
        <v>0</v>
      </c>
      <c r="AP14" s="1262">
        <f>IF(ISNUMBER(((Datos!L14/Datos!K14)*11)/factor_trimestre),((Datos!L14/Datos!K14)*11)/factor_trimestre," - ")</f>
        <v>12.186602870813397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-0.17857142857142858</v>
      </c>
      <c r="AU14" s="1257" t="str">
        <f>IF(ISNUMBER((DatosP!#REF!-DatosP!#REF!+DatosP!#REF!)/(DatosP!#REF!+DatosP!#REF!-DatosP!#REF!-DatosP!#REF!)),(DatosP!#REF!-DatosP!#REF!+DatosP!#REF!)/(DatosP!#REF!+DatosP!#REF!-DatosP!#REF!-DatosP!#REF!)," - ")</f>
        <v xml:space="preserve"> - </v>
      </c>
      <c r="AV14" s="1263">
        <f>SUBTOTAL(9,AV9:AV13)</f>
        <v>-2.685851318944844E-2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5.8150684931506849</v>
      </c>
      <c r="AQ23" s="1262">
        <f>IF(ISNUMBER(((Datos!M23/Datos!L23)*11)/factor_trimestre),((Datos!M23/Datos!L23)*11)/factor_trimestre," - ")</f>
        <v>0.34452296819787986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-0.10526315789473684</v>
      </c>
      <c r="AW23" s="1265">
        <f>IF(ISNUMBER((Datos!Q23-Datos!R23)/(Datos!S23-Datos!Q23+Datos!R23)),(Datos!Q23-Datos!R23)/(Datos!S23-Datos!Q23+Datos!R23)," - ")</f>
        <v>-6.7758749069247948E-2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202</v>
      </c>
      <c r="AE31" s="1284">
        <f t="shared" si="9"/>
        <v>0</v>
      </c>
      <c r="AF31" s="1285">
        <f t="shared" si="9"/>
        <v>26</v>
      </c>
      <c r="AG31" s="1285">
        <f t="shared" si="9"/>
        <v>0</v>
      </c>
      <c r="AH31" s="1285">
        <f t="shared" si="9"/>
        <v>2029</v>
      </c>
      <c r="AI31" s="1285">
        <f t="shared" si="9"/>
        <v>0</v>
      </c>
      <c r="AJ31" s="1286">
        <f t="shared" si="9"/>
        <v>0</v>
      </c>
      <c r="AK31" s="1286">
        <f t="shared" si="9"/>
        <v>0</v>
      </c>
      <c r="AL31" s="1278">
        <f t="shared" si="9"/>
        <v>152</v>
      </c>
      <c r="AM31" s="1278">
        <f t="shared" si="9"/>
        <v>270</v>
      </c>
      <c r="AN31" s="1278">
        <f t="shared" si="9"/>
        <v>0</v>
      </c>
      <c r="AO31" s="1278">
        <f t="shared" si="9"/>
        <v>0</v>
      </c>
      <c r="AP31" s="1278">
        <f>IF(ISNUMBER(((Datos!L31/Datos!K31)*11)/factor_trimestre),((Datos!L31/Datos!K31)*11)/factor_trimestre," - ")</f>
        <v>9.1139554087530961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-0.17857142857142858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-3.2345013477088951E-2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77.345114045210821</v>
      </c>
      <c r="AM33" s="1006"/>
      <c r="AN33" s="1006">
        <f>IF(ISNUMBER(STDEV(AN8:AN30)),STDEV(AN8:AN30),"-")</f>
        <v>0</v>
      </c>
      <c r="AO33" s="1012">
        <f>IF(ISNUMBER(STDEV(AO8:AO30)),STDEV(AO8:AO30),"-")</f>
        <v>0</v>
      </c>
      <c r="AP33" s="1065">
        <f>IF(ISNUMBER(STDEV(AP8:AP30)),STDEV(AP8:AP30),"-")</f>
        <v>4.0566907654578443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If7zrgsi157OxbupX3G7ZImgojyLJI5e7+C1Duv9ZOWDIGlcdv2mq1w0Ua1r3z7RcGoP6TRpKJ6JUdd2HAOtg==" saltValue="CA0OoH8glHr0yJSRoflU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VILAGARCIA DE AROUSA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mLQ4N7luxZWZm/kOimjIgHyIN+/Lyg+PNesVDZtcuTxVdznoOS5Y7zzl1E00yDGWkNDEAhae7AU56wFhQSBHQ==" saltValue="ysxSIbqM2lTbkf7Gm2Ot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VILAGARCIA DE AROUSA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149</v>
      </c>
      <c r="E12" s="452">
        <f t="shared" si="0"/>
        <v>49.666666666666664</v>
      </c>
      <c r="F12" s="451">
        <f>IF(ISNUMBER(Datos!N12),Datos!N12," - ")</f>
        <v>269</v>
      </c>
      <c r="G12" s="452">
        <f t="shared" si="1"/>
        <v>89.666666666666671</v>
      </c>
      <c r="H12" s="451">
        <f>IF(ISNUMBER(Datos!O12),Datos!O12," - ")</f>
        <v>337</v>
      </c>
      <c r="I12" s="452">
        <f t="shared" si="2"/>
        <v>112.33333333333333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152</v>
      </c>
      <c r="E14" s="1147">
        <f t="shared" si="0"/>
        <v>38</v>
      </c>
      <c r="F14" s="1146">
        <f>SUBTOTAL(9,F9:F13)</f>
        <v>270</v>
      </c>
      <c r="G14" s="1147">
        <f t="shared" si="1"/>
        <v>67.5</v>
      </c>
      <c r="H14" s="1146">
        <f>SUBTOTAL(9,H9:H13)</f>
        <v>338</v>
      </c>
      <c r="I14" s="1147">
        <f>IF(ISNUMBER(H14/B14),H14/B14," - ")</f>
        <v>84.5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127</v>
      </c>
      <c r="E17" s="452">
        <f t="shared" si="3"/>
        <v>42.333333333333336</v>
      </c>
      <c r="F17" s="451">
        <f>IF(ISNUMBER(Datos!N17),Datos!N17," - ")</f>
        <v>217</v>
      </c>
      <c r="G17" s="452">
        <f t="shared" si="4"/>
        <v>72.333333333333329</v>
      </c>
      <c r="H17" s="451">
        <f>IF(ISNUMBER(Datos!O17),Datos!O17," - ")</f>
        <v>12</v>
      </c>
      <c r="I17" s="452">
        <f t="shared" si="5"/>
        <v>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130</v>
      </c>
      <c r="E23" s="1147">
        <f t="shared" si="3"/>
        <v>32.5</v>
      </c>
      <c r="F23" s="1146">
        <f>SUBTOTAL(9,F16:F22)</f>
        <v>249</v>
      </c>
      <c r="G23" s="1147">
        <f t="shared" si="4"/>
        <v>62.25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282</v>
      </c>
      <c r="E31" s="1085">
        <f>IF(ISNUMBER(D31/B31),D31/B31," - ")</f>
        <v>94</v>
      </c>
      <c r="F31" s="1084">
        <f>SUBTOTAL(9,F8:F30)</f>
        <v>519</v>
      </c>
      <c r="G31" s="1085">
        <f>IF(ISNUMBER(F31/B31),F31/B31," - ")</f>
        <v>173</v>
      </c>
      <c r="H31" s="1084">
        <f>SUBTOTAL(9,H8:H30)</f>
        <v>350</v>
      </c>
      <c r="I31" s="1085">
        <f>IF(ISNUMBER(H31/B31),H31/B31," - ")</f>
        <v>116.66666666666667</v>
      </c>
    </row>
    <row r="34" spans="1:1">
      <c r="A34" s="439" t="str">
        <f>Criterios!A4</f>
        <v>Fecha Informe: 05 may. 2023</v>
      </c>
    </row>
    <row r="39" spans="1:1">
      <c r="A39" s="462"/>
    </row>
  </sheetData>
  <sheetProtection algorithmName="SHA-512" hashValue="wSPo8m/rx/k3DItmVE+iUGVH73wqWGekeU7bPfq2qCci6SOMj3dcn/8rgAHxkJMAukBlf3RIz8SUTOr9/wDdmg==" saltValue="1dDQaqVcFMQj/bZ2HA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VILAGARCIA DE AROUSA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146</v>
      </c>
      <c r="C12" s="489">
        <f>IF(ISNUMBER(Datos!Q12),Datos!Q12," - ")</f>
        <v>202</v>
      </c>
      <c r="D12" s="456">
        <f>IF(ISNUMBER(Datos!R12),Datos!R12," - ")</f>
        <v>2029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204</v>
      </c>
      <c r="D14" s="1148">
        <f>SUBTOTAL(9,D9:D13)</f>
        <v>2035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28</v>
      </c>
      <c r="D17" s="456">
        <f>IF(ISNUMBER(Datos!R17),Datos!R17," - ")</f>
        <v>117</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28</v>
      </c>
      <c r="D23" s="1148">
        <f>SUBTOTAL(9,D16:D22)</f>
        <v>119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v>
      </c>
      <c r="C31" s="1089">
        <f>SUBTOTAL(9,C8:C30)</f>
        <v>232</v>
      </c>
      <c r="D31" s="1090">
        <f>SUBTOTAL(9,D8:D30)</f>
        <v>2154</v>
      </c>
    </row>
    <row r="32" spans="1:4" ht="7.5" customHeight="1"/>
    <row r="33" spans="1:1" ht="6" customHeight="1"/>
    <row r="34" spans="1:1">
      <c r="A34" s="439" t="str">
        <f>Criterios!A4</f>
        <v>Fecha Informe: 05 may. 2023</v>
      </c>
    </row>
    <row r="39" spans="1:1">
      <c r="A39" s="462"/>
    </row>
  </sheetData>
  <sheetProtection algorithmName="SHA-512" hashValue="hD8uKwfVON3IGWpgj06W03Co5fovsgfpydjLybluo47EjOFWwY7ZK8obqZlkgPCoJWrCMsWJ8yXxq3Mp7akh9A==" saltValue="DbfhMTRRB8UYzekZqO2k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VILAGARCIA DE AROUSA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-0.7</v>
      </c>
      <c r="D10" s="515">
        <f>IF(ISNUMBER((Datos!K10-Datos!U10)/Datos!U10),(Datos!K10-Datos!U10)/Datos!U10," - ")</f>
        <v>1.5</v>
      </c>
      <c r="E10" s="515">
        <f>IF(ISNUMBER((Datos!L10-Datos!V10)/Datos!V10),(Datos!L10-Datos!V10)/Datos!V10," - ")</f>
        <v>0</v>
      </c>
      <c r="F10" s="515" t="str">
        <f>IF(ISNUMBER((Datos!M10-Datos!W10)/Datos!W10),(Datos!M10-Datos!W10)/Datos!W10," - ")</f>
        <v xml:space="preserve"> - </v>
      </c>
      <c r="G10" s="516">
        <f>IF(ISNUMBER((Datos!N10-Datos!X10)/Datos!X10),(Datos!N10-Datos!X10)/Datos!X10," - ")</f>
        <v>-0.5</v>
      </c>
      <c r="H10" s="514">
        <f>IF(ISNUMBER(((NºAsuntos!G10/NºAsuntos!E10)-Datos!BD10)/Datos!BD10),((NºAsuntos!G10/NºAsuntos!E10)-Datos!BD10)/Datos!BD10," - ")</f>
        <v>7.3333333333333339</v>
      </c>
      <c r="I10" s="515">
        <f>IF(ISNUMBER(((NºAsuntos!I10/NºAsuntos!G10)-Datos!BE10)/Datos!BE10),((NºAsuntos!I10/NºAsuntos!G10)-Datos!BE10)/Datos!BE10," - ")</f>
        <v>-0.6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-0.55714285714285716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3.3945686900958463E-2</v>
      </c>
      <c r="C12" s="515">
        <f>IF(ISNUMBER(
   IF(J_V="SI",(Datos!J12-Datos!T12)/Datos!T12,(Datos!J12+Datos!Z12-(Datos!T12+Datos!AH12))/(Datos!T12+Datos!AH12))
     ),IF(J_V="SI",(Datos!J12-Datos!T12)/Datos!T12,(Datos!J12+Datos!Z12-(Datos!T12+Datos!AH12))/(Datos!T12+Datos!AH12))," - ")</f>
        <v>0.25432525951557095</v>
      </c>
      <c r="D12" s="515">
        <f>IF(ISNUMBER(
   IF(J_V="SI",(Datos!K12-Datos!U12)/Datos!U12,(Datos!K12+Datos!AA12-(Datos!U12+Datos!AI12))/(Datos!U12+Datos!AI12))
     ),IF(J_V="SI",(Datos!K12-Datos!U12)/Datos!U12,(Datos!K12+Datos!AA12-(Datos!U12+Datos!AI12))/(Datos!U12+Datos!AI12))," - ")</f>
        <v>0.25045372050816694</v>
      </c>
      <c r="E12" s="515">
        <f>IF(ISNUMBER(
   IF(J_V="SI",(Datos!L12-Datos!V12)/Datos!V12,(Datos!L12+Datos!AB12-(Datos!V12+Datos!AJ12))/(Datos!V12+Datos!AJ12))
     ),IF(J_V="SI",(Datos!L12-Datos!V12)/Datos!V12,(Datos!L12+Datos!AB12-(Datos!V12+Datos!AJ12))/(Datos!V12+Datos!AJ12))," - ")</f>
        <v>3.7139470564994073E-2</v>
      </c>
      <c r="F12" s="515">
        <f>IF(ISNUMBER((Datos!M12-Datos!W12)/Datos!W12),(Datos!M12-Datos!W12)/Datos!W12," - ")</f>
        <v>-1.9736842105263157E-2</v>
      </c>
      <c r="G12" s="516">
        <f>IF(ISNUMBER((Datos!N12-Datos!X12)/Datos!X12),(Datos!N12-Datos!X12)/Datos!X12," - ")</f>
        <v>0.57309941520467833</v>
      </c>
      <c r="H12" s="514">
        <f>IF(ISNUMBER(((NºAsuntos!G12/NºAsuntos!E12)-Datos!BD12)/Datos!BD12),((NºAsuntos!G12/NºAsuntos!E12)-Datos!BD12)/Datos!BD12," - ")</f>
        <v>-3.0865510983165228E-3</v>
      </c>
      <c r="I12" s="515">
        <f>IF(ISNUMBER(((NºAsuntos!I12/NºAsuntos!G12)-Datos!BE12)/Datos!BE12),((NºAsuntos!I12/NºAsuntos!G12)-Datos!BE12)/Datos!BE12," - ")</f>
        <v>-0.17058947999809615</v>
      </c>
      <c r="J12" s="521">
        <f>IF(ISNUMBER((('Resol  Asuntos'!D12/NºAsuntos!G12)-Datos!BF12)/Datos!BF12),(('Resol  Asuntos'!D12/NºAsuntos!G12)-Datos!BF12)/Datos!BF12," - ")</f>
        <v>-0.30317690695049188</v>
      </c>
      <c r="K12" s="522">
        <f>IF(ISNUMBER((((NºAsuntos!C12+NºAsuntos!E12)/NºAsuntos!G12)-Datos!BG12)/Datos!BG12),(((NºAsuntos!C12+NºAsuntos!E12)/NºAsuntos!G12)-Datos!BG12)/Datos!BG12," - ")</f>
        <v>-0.1400914905500264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3.7668517049960347E-2</v>
      </c>
      <c r="C14" s="1152">
        <f>IF(ISNUMBER(
   IF(J_V="SI",(Datos!J14-Datos!T14)/Datos!T14,(Datos!J14+Datos!Z14-(Datos!T14+Datos!AH14))/(Datos!T14+Datos!AH14))
     ),IF(J_V="SI",(Datos!J14-Datos!T14)/Datos!T14,(Datos!J14+Datos!Z14-(Datos!T14+Datos!AH14))/(Datos!T14+Datos!AH14))," - ")</f>
        <v>0.23809523809523808</v>
      </c>
      <c r="D14" s="1152">
        <f>IF(ISNUMBER(
   IF(J_V="SI",(Datos!K14-Datos!U14)/Datos!U14,(Datos!K14+Datos!AA14-(Datos!U14+Datos!AI14))/(Datos!U14+Datos!AI14))
     ),IF(J_V="SI",(Datos!K14-Datos!U14)/Datos!U14,(Datos!K14+Datos!AA14-(Datos!U14+Datos!AI14))/(Datos!U14+Datos!AI14))," - ")</f>
        <v>0.25497287522603979</v>
      </c>
      <c r="E14" s="1152">
        <f>IF(ISNUMBER(
   IF(J_V="SI",(Datos!L14-Datos!V14)/Datos!V14,(Datos!L14+Datos!AB14-(Datos!V14+Datos!AJ14))/(Datos!V14+Datos!AJ14))
     ),IF(J_V="SI",(Datos!L14-Datos!V14)/Datos!V14,(Datos!L14+Datos!AB14-(Datos!V14+Datos!AJ14))/(Datos!V14+Datos!AJ14))," - ")</f>
        <v>3.676183026984748E-2</v>
      </c>
      <c r="F14" s="1153">
        <f>IF(ISNUMBER((Datos!M14-Datos!W14)/Datos!W14),(Datos!M14-Datos!W14)/Datos!W14," - ")</f>
        <v>0</v>
      </c>
      <c r="G14" s="1154">
        <f>IF(ISNUMBER((Datos!N14-Datos!X14)/Datos!X14),(Datos!N14-Datos!X14)/Datos!X14," - ")</f>
        <v>0.56069364161849711</v>
      </c>
      <c r="H14" s="1154">
        <f>IF(ISNUMBER(((NºAsuntos!G14/NºAsuntos!E14)-Datos!BD14)/Datos!BD14),((NºAsuntos!G14/NºAsuntos!E14)-Datos!BD14)/Datos!BD14," - ")</f>
        <v>1.3631937682570663E-2</v>
      </c>
      <c r="I14" s="1154">
        <f>IF(ISNUMBER(((NºAsuntos!I14/NºAsuntos!G14)-Datos!BE14)/Datos!BE14),((NºAsuntos!I14/NºAsuntos!G14)-Datos!BE14)/Datos!BE14," - ")</f>
        <v>-0.17387710066394002</v>
      </c>
      <c r="J14" s="1154">
        <f>IF(ISNUMBER((('Resol  Asuntos'!D14/NºAsuntos!G14)-Datos!BF14)/Datos!BF14),(('Resol  Asuntos'!D14/NºAsuntos!G14)-Datos!BF14)/Datos!BF14," - ")</f>
        <v>-0.29170669228306118</v>
      </c>
      <c r="K14" s="1154">
        <f>IF(ISNUMBER((((NºAsuntos!C14+NºAsuntos!E14)/NºAsuntos!G14)-Datos!BG14)/Datos!BG14),(((NºAsuntos!C14+NºAsuntos!E14)/NºAsuntos!G14)-Datos!BG14)/Datos!BG14," - ")</f>
        <v>-0.14295940398639706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-0.15084745762711865</v>
      </c>
      <c r="C17" s="515">
        <f>IF(ISNUMBER(
   IF(D_I="SI",(Datos!J17-Datos!T17)/Datos!T17,(Datos!J17+Datos!AD17-(Datos!T17+Datos!AL17))/(Datos!T17+Datos!AL17))
     ),IF(D_I="SI",(Datos!J17-Datos!T17)/Datos!T17,(Datos!J17+Datos!AD17-(Datos!T17+Datos!AL17))/(Datos!T17+Datos!AL17))," - ")</f>
        <v>0.51630434782608692</v>
      </c>
      <c r="D17" s="515">
        <f>IF(ISNUMBER(
   IF(D_I="SI",(Datos!K17-Datos!U17)/Datos!U17,(Datos!K17+Datos!AE17-(Datos!U17+Datos!AM17))/(Datos!U17+Datos!AM17))
     ),IF(D_I="SI",(Datos!K17-Datos!U17)/Datos!U17,(Datos!K17+Datos!AE17-(Datos!U17+Datos!AM17))/(Datos!U17+Datos!AM17))," - ")</f>
        <v>7.6446280991735532E-2</v>
      </c>
      <c r="E17" s="515">
        <f>IF(ISNUMBER(
   IF(D_I="SI",(Datos!L17-Datos!V17)/Datos!V17,(Datos!L17+Datos!AF17-(Datos!V17+Datos!AN17))/(Datos!V17+Datos!AN17))
     ),IF(D_I="SI",(Datos!L17-Datos!V17)/Datos!V17,(Datos!L17+Datos!AF17-(Datos!V17+Datos!AN17))/(Datos!V17+Datos!AN17))," - ")</f>
        <v>-2.3496240601503758E-2</v>
      </c>
      <c r="F17" s="515">
        <f>IF(ISNUMBER((Datos!M17-Datos!W17)/Datos!W17),(Datos!M17-Datos!W17)/Datos!W17," - ")</f>
        <v>5.8333333333333334E-2</v>
      </c>
      <c r="G17" s="516">
        <f>IF(ISNUMBER((Datos!N17-Datos!X17)/Datos!X17),(Datos!N17-Datos!X17)/Datos!X17," - ")</f>
        <v>-0.1388888888888889</v>
      </c>
      <c r="H17" s="514">
        <f>IF(ISNUMBER(((NºAsuntos!G17/NºAsuntos!E17)-Datos!BD17)/Datos!BD17),((NºAsuntos!G17/NºAsuntos!E17)-Datos!BD17)/Datos!BD17," - ")</f>
        <v>-0.29008560680114936</v>
      </c>
      <c r="I17" s="515">
        <f>IF(ISNUMBER(((NºAsuntos!I17/NºAsuntos!G17)-Datos!BE17)/Datos!BE17),((NºAsuntos!I17/NºAsuntos!G17)-Datos!BE17)/Datos!BE17," - ")</f>
        <v>-9.2844876105811436E-2</v>
      </c>
      <c r="J17" s="521">
        <f>IF(ISNUMBER((('Resol  Asuntos'!D17/NºAsuntos!G17)-Datos!BF17)/Datos!BF17),(('Resol  Asuntos'!D17/NºAsuntos!G17)-Datos!BF17)/Datos!BF17," - ")</f>
        <v>-1.6826615483045478E-2</v>
      </c>
      <c r="K17" s="522">
        <f>IF(ISNUMBER((((NºAsuntos!C17+NºAsuntos!E17)/NºAsuntos!G17)-Datos!BG17)/Datos!BG17),(((NºAsuntos!C17+NºAsuntos!E17)/NºAsuntos!G17)-Datos!BG17)/Datos!BG17," - ")</f>
        <v>-6.3815857995208891E-2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0.43055555555555558</v>
      </c>
      <c r="C18" s="515">
        <f>IF(ISNUMBER(
   IF(D_I="SI",(Datos!J18-Datos!T18)/Datos!T18,(Datos!J18+Datos!AD18-(Datos!T18+Datos!AL18))/(Datos!T18+Datos!AL18))
     ),IF(D_I="SI",(Datos!J18-Datos!T18)/Datos!T18,(Datos!J18+Datos!AD18-(Datos!T18+Datos!AL18))/(Datos!T18+Datos!AL18))," - ")</f>
        <v>-1.8518518518518517E-2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0.47619047619047616</v>
      </c>
      <c r="F18" s="515">
        <f>IF(ISNUMBER((Datos!M18-Datos!W18)/Datos!W18),(Datos!M18-Datos!W18)/Datos!W18," - ")</f>
        <v>0</v>
      </c>
      <c r="G18" s="516">
        <f>IF(ISNUMBER((Datos!N18-Datos!X18)/Datos!X18),(Datos!N18-Datos!X18)/Datos!X18," - ")</f>
        <v>-0.34693877551020408</v>
      </c>
      <c r="H18" s="514">
        <f>IF(ISNUMBER(((NºAsuntos!G18/NºAsuntos!E18)-Datos!BD18)/Datos!BD18),((NºAsuntos!G18/NºAsuntos!E18)-Datos!BD18)/Datos!BD18," - ")</f>
        <v>1.8867924528301785E-2</v>
      </c>
      <c r="I18" s="515">
        <f>IF(ISNUMBER(((NºAsuntos!I18/NºAsuntos!G18)-Datos!BE18)/Datos!BE18),((NºAsuntos!I18/NºAsuntos!G18)-Datos!BE18)/Datos!BE18," - ")</f>
        <v>0.47619047619047628</v>
      </c>
      <c r="J18" s="521">
        <f>IF(ISNUMBER((('Resol  Asuntos'!D18/NºAsuntos!G18)-Datos!BF18)/Datos!BF18),(('Resol  Asuntos'!D18/NºAsuntos!G18)-Datos!BF18)/Datos!BF18," - ")</f>
        <v>0</v>
      </c>
      <c r="K18" s="522">
        <f>IF(ISNUMBER((((NºAsuntos!C18+NºAsuntos!E18)/NºAsuntos!G18)-Datos!BG18)/Datos!BG18),(((NºAsuntos!C18+NºAsuntos!E18)/NºAsuntos!G18)-Datos!BG18)/Datos!BG18," - ")</f>
        <v>0.23809523809523814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-0.11741214057507987</v>
      </c>
      <c r="C23" s="1152">
        <f>IF(ISNUMBER(
   IF(Criterios!B14="SI",(Datos!J23-Datos!T23)/Datos!T23,(Datos!J23+Datos!AD23-(Datos!T23+Datos!AL23))/(Datos!T23+Datos!AL23))
     ),IF(Criterios!B14="SI",(Datos!J23-Datos!T23)/Datos!T23,(Datos!J23+Datos!AD23-(Datos!T23+Datos!AL23))/(Datos!T23+Datos!AL23))," - ")</f>
        <v>0.44786729857819907</v>
      </c>
      <c r="D23" s="1152">
        <f>IF(ISNUMBER(
   IF(Criterios!B14="SI",(Datos!K23-Datos!U23)/Datos!U23,(Datos!K23+Datos!AE23-(Datos!U23+Datos!AM23))/(Datos!U23+Datos!AM23))
     ),IF(Criterios!B14="SI",(Datos!K23-Datos!U23)/Datos!U23,(Datos!K23+Datos!AE23-(Datos!U23+Datos!AM23))/(Datos!U23+Datos!AM23))," - ")</f>
        <v>6.7641681901279713E-2</v>
      </c>
      <c r="E23" s="1152">
        <f>IF(ISNUMBER(
   IF(Criterios!B14="SI",(Datos!L23-Datos!V23)/Datos!V23,(Datos!L23+Datos!AF23-(Datos!V23+Datos!AN23))/(Datos!V23+Datos!AN23))
     ),IF(Criterios!B14="SI",(Datos!L23-Datos!V23)/Datos!V23,(Datos!L23+Datos!AF23-(Datos!V23+Datos!AN23))/(Datos!V23+Datos!AN23))," - ")</f>
        <v>4.4365572315882874E-3</v>
      </c>
      <c r="F23" s="1153">
        <f>IF(ISNUMBER((Datos!M23-Datos!W23)/Datos!W23),(Datos!M23-Datos!W23)/Datos!W23," - ")</f>
        <v>5.6910569105691054E-2</v>
      </c>
      <c r="G23" s="1154">
        <f>IF(ISNUMBER((Datos!N23-Datos!X23)/Datos!X23),(Datos!N23-Datos!X23)/Datos!X23," - ")</f>
        <v>-0.17275747508305647</v>
      </c>
      <c r="H23" s="1154">
        <f>IF(ISNUMBER(((NºAsuntos!G23/NºAsuntos!E23)-Datos!BD23)/Datos!BD23),((NºAsuntos!G23/NºAsuntos!E23)-Datos!BD23)/Datos!BD23," - ")</f>
        <v>-0.26261081871957442</v>
      </c>
      <c r="I23" s="1154">
        <f>IF(ISNUMBER(((NºAsuntos!I23/NºAsuntos!G23)-Datos!BE23)/Datos!BE23),((NºAsuntos!I23/NºAsuntos!G23)-Datos!BE23)/Datos!BE23," - ")</f>
        <v>-5.9200690401234948E-2</v>
      </c>
      <c r="J23" s="1154">
        <f>IF(ISNUMBER((('Resol  Asuntos'!D23/NºAsuntos!G23)-Datos!BF23)/Datos!BF23),(('Resol  Asuntos'!D23/NºAsuntos!G23)-Datos!BF23)/Datos!BF23," - ")</f>
        <v>-1.005123064929273E-2</v>
      </c>
      <c r="K23" s="1154">
        <f>IF(ISNUMBER((((NºAsuntos!C23+NºAsuntos!E23)/NºAsuntos!G23)-Datos!BG23)/Datos!BG23),(((NºAsuntos!C23+NºAsuntos!E23)/NºAsuntos!G23)-Datos!BG23)/Datos!BG23," - ")</f>
        <v>-3.9856139834045276E-2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-1.377848436671966E-2</v>
      </c>
      <c r="C31" s="1092">
        <f>IF(ISNUMBER(
   IF(J_V="SI",(Datos!J31-Datos!T31)/Datos!T31,(Datos!J31+Datos!Z31-(Datos!T31+Datos!AH31))/(Datos!T31+Datos!AH31))
     ),IF(J_V="SI",(Datos!J31-Datos!T31)/Datos!T31,(Datos!J31+Datos!Z31-(Datos!T31+Datos!AH31))/(Datos!T31+Datos!AH31))," - ")</f>
        <v>0.32574257425742575</v>
      </c>
      <c r="D31" s="1092">
        <f>IF(ISNUMBER(
   IF(J_V="SI",(Datos!K31-Datos!U31)/Datos!U31,(Datos!K31+Datos!AA31-(Datos!U31+Datos!AI31))/(Datos!U31+Datos!AI31))
     ),IF(J_V="SI",(Datos!K31-Datos!U31)/Datos!U31,(Datos!K31+Datos!AA31-(Datos!U31+Datos!AI31))/(Datos!U31+Datos!AI31))," - ")</f>
        <v>0.16181818181818181</v>
      </c>
      <c r="E31" s="1092">
        <f>IF(ISNUMBER(
   IF(J_V="SI",(Datos!L31-Datos!V31)/Datos!V31,(Datos!L31+Datos!AB31-(Datos!V31+Datos!AJ31))/(Datos!V31+Datos!AJ31))
     ),IF(J_V="SI",(Datos!L31-Datos!V31)/Datos!V31,(Datos!L31+Datos!AB31-(Datos!V31+Datos!AJ31))/(Datos!V31+Datos!AJ31))," - ")</f>
        <v>2.6872964169381109E-2</v>
      </c>
      <c r="F31" s="1093">
        <f>IF(ISNUMBER((Datos!M31-Datos!W31)/Datos!W31),(Datos!M31-Datos!W31)/Datos!W31," - ")</f>
        <v>2.5454545454545455E-2</v>
      </c>
      <c r="G31" s="1094">
        <f>IF(ISNUMBER((Datos!N31-Datos!X31)/Datos!X31),(Datos!N31-Datos!X31)/Datos!X31," - ")</f>
        <v>9.49367088607595E-2</v>
      </c>
      <c r="H31" s="1095">
        <f>IF(ISNUMBER((Tasas!B31-Datos!BD31)/Datos!BD31),(Tasas!B31-Datos!BD31)/Datos!BD31," - ")</f>
        <v>-0.123647226559848</v>
      </c>
      <c r="I31" s="1096">
        <f>IF(ISNUMBER((Tasas!C31-Datos!BE31)/Datos!BE31),(Tasas!C31-Datos!BE31)/Datos!BE31," - ")</f>
        <v>-0.11615003084012582</v>
      </c>
      <c r="J31" s="1097">
        <f>IF(ISNUMBER((Tasas!D31-Datos!BF31)/Datos!BF31),(Tasas!D31-Datos!BF31)/Datos!BF31," - ")</f>
        <v>-0.17441154865702152</v>
      </c>
      <c r="K31" s="1097">
        <f>IF(ISNUMBER((Tasas!E31-Datos!BG31)/Datos!BG31),(Tasas!E31-Datos!BG31)/Datos!BG31," - ")</f>
        <v>-8.9443292979728903E-2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JkQGVfWTu74oB8Ru/VPr7cpS9Y4q4MnX8fFadh7JSzRgqOCamZLGxZMwltO1sbO6TiRPC5PLvnjmkiHU/OeYA==" saltValue="qhrYWtehu7kryMI9ERa8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VILAGARCIA DE AROUSA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5.2</v>
      </c>
      <c r="D10" s="499">
        <f>IF(ISNUMBER('Resol  Asuntos'!D10/NºAsuntos!G10),'Resol  Asuntos'!D10/NºAsuntos!G10," - ")</f>
        <v>0.6</v>
      </c>
      <c r="E10" s="500">
        <f>IF(ISNUMBER((NºAsuntos!C10+NºAsuntos!E10)/NºAsuntos!G10),(NºAsuntos!C10+NºAsuntos!E10)/NºAsuntos!G10," - ")</f>
        <v>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0.95034482758620686</v>
      </c>
      <c r="C12" s="498">
        <f>IF(ISNUMBER(NºAsuntos!I12/NºAsuntos!G12),NºAsuntos!I12/NºAsuntos!G12," - ")</f>
        <v>3.8098693759071116</v>
      </c>
      <c r="D12" s="499">
        <f>IF(ISNUMBER('Resol  Asuntos'!D12/NºAsuntos!G12),'Resol  Asuntos'!D12/NºAsuntos!G12," - ")</f>
        <v>0.21625544267053701</v>
      </c>
      <c r="E12" s="500">
        <f>IF(ISNUMBER((NºAsuntos!C12+NºAsuntos!E12)/NºAsuntos!G12),(NºAsuntos!C12+NºAsuntos!E12)/NºAsuntos!G12," - ")</f>
        <v>4.8098693759071116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0.95329670329670335</v>
      </c>
      <c r="C14" s="1156">
        <f>IF(ISNUMBER(NºAsuntos!I14/NºAsuntos!G14),NºAsuntos!I14/NºAsuntos!G14," - ")</f>
        <v>3.8198847262247839</v>
      </c>
      <c r="D14" s="1157">
        <f>IF(ISNUMBER('Resol  Asuntos'!D14/NºAsuntos!G14),'Resol  Asuntos'!D14/NºAsuntos!G14," - ")</f>
        <v>0.21902017291066284</v>
      </c>
      <c r="E14" s="1158">
        <f>IF(ISNUMBER((NºAsuntos!C14+NºAsuntos!E14)/NºAsuntos!G14),(NºAsuntos!C14+NºAsuntos!E14)/NºAsuntos!G14," - ")</f>
        <v>4.8198847262247835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0.93369175627240142</v>
      </c>
      <c r="C17" s="498">
        <f>IF(ISNUMBER(NºAsuntos!I17/NºAsuntos!G17),NºAsuntos!I17/NºAsuntos!G17," - ")</f>
        <v>1.9942418426103647</v>
      </c>
      <c r="D17" s="499">
        <f>IF(ISNUMBER('Resol  Asuntos'!D17/NºAsuntos!G17),'Resol  Asuntos'!D17/NºAsuntos!G17," - ")</f>
        <v>0.2437619961612284</v>
      </c>
      <c r="E17" s="500">
        <f>IF(ISNUMBER((NºAsuntos!C17+NºAsuntos!E17)/NºAsuntos!G17),(NºAsuntos!C17+NºAsuntos!E17)/NºAsuntos!G17," - ")</f>
        <v>2.9942418426103647</v>
      </c>
      <c r="G17" s="523"/>
    </row>
    <row r="18" spans="1:7">
      <c r="A18" s="450" t="str">
        <f>Datos!A18</f>
        <v>Jdos. Violencia contra la mujer</v>
      </c>
      <c r="B18" s="497">
        <f>IF(ISNUMBER(NºAsuntos!G18/NºAsuntos!E18),NºAsuntos!G18/NºAsuntos!E18," - ")</f>
        <v>1.1886792452830188</v>
      </c>
      <c r="C18" s="498">
        <f>IF(ISNUMBER(NºAsuntos!I18/NºAsuntos!G18),NºAsuntos!I18/NºAsuntos!G18," - ")</f>
        <v>1.4761904761904763</v>
      </c>
      <c r="D18" s="499">
        <f>IF(ISNUMBER('Resol  Asuntos'!D18/NºAsuntos!G18),'Resol  Asuntos'!D18/NºAsuntos!G18," - ")</f>
        <v>4.7619047619047616E-2</v>
      </c>
      <c r="E18" s="500">
        <f>IF(ISNUMBER((NºAsuntos!C18+NºAsuntos!E18)/NºAsuntos!G18),(NºAsuntos!C18+NºAsuntos!E18)/NºAsuntos!G18," - ")</f>
        <v>2.4761904761904763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0.95581014729950897</v>
      </c>
      <c r="C23" s="1156">
        <f>IF(ISNUMBER(NºAsuntos!I23/NºAsuntos!G23),NºAsuntos!I23/NºAsuntos!G23," - ")</f>
        <v>1.9383561643835616</v>
      </c>
      <c r="D23" s="1159">
        <f>IF(ISNUMBER('Resol  Asuntos'!D23/NºAsuntos!G23),'Resol  Asuntos'!D23/NºAsuntos!G23," - ")</f>
        <v>0.2226027397260274</v>
      </c>
      <c r="E23" s="1158">
        <f>IF(ISNUMBER((NºAsuntos!C23+NºAsuntos!E23)/NºAsuntos!G23),(NºAsuntos!C23+NºAsuntos!E23)/NºAsuntos!G23," - ")</f>
        <v>2.9383561643835616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0.95444361463778937</v>
      </c>
      <c r="C31" s="1099">
        <f>IF(ISNUMBER(NºAsuntos!I31/NºAsuntos!G31),NºAsuntos!I31/NºAsuntos!G31," - ")</f>
        <v>2.960093896713615</v>
      </c>
      <c r="D31" s="1100">
        <f>IF(ISNUMBER('Resol  Asuntos'!D31/NºAsuntos!G31),'Resol  Asuntos'!D31/NºAsuntos!G31," - ")</f>
        <v>0.22065727699530516</v>
      </c>
      <c r="E31" s="1101">
        <f>IF(ISNUMBER((NºAsuntos!C31+NºAsuntos!E31)/NºAsuntos!G31),(NºAsuntos!C31+NºAsuntos!E31)/NºAsuntos!G31," - ")</f>
        <v>3.960093896713615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xm+cUJzAStl1G2AkfZSMisDKRzNlvKTzeo6UreSwDf/tKJ24HaAl5KZoJoH/SR8P7ZVg+WDmeu7LY//xmx0xQ==" saltValue="U/zwjBy80/qDTZRgwaa0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VILAGARCIA DE AROUSA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v>
      </c>
      <c r="Y10" s="374">
        <f t="shared" ref="Y10:Y13" si="0">SUM(W10:X10)</f>
        <v>7</v>
      </c>
      <c r="Z10" s="375" t="str">
        <f>IF(ISNUMBER(Datos!CC10),Datos!CC10," - ")</f>
        <v xml:space="preserve"> - </v>
      </c>
      <c r="AA10" s="372">
        <f>IF(ISNUMBER(Datos!L10),Datos!L10,"-")</f>
        <v>26</v>
      </c>
      <c r="AB10" s="374">
        <f>IF(ISNUMBER(Datos!R10),Datos!R10," - ")</f>
        <v>6</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15.600000000000001</v>
      </c>
      <c r="AN10" s="267">
        <f>IF(ISNUMBER('Resol  Asuntos'!D10/NºAsuntos!G10),'Resol  Asuntos'!D10/NºAsuntos!G10," - ")</f>
        <v>0.6</v>
      </c>
      <c r="AO10" s="268">
        <f>IF(ISNUMBER((NºAsuntos!C10+NºAsuntos!E10)/NºAsuntos!G10),(NºAsuntos!C10+NºAsuntos!E10)/NºAsuntos!G10," - ")</f>
        <v>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202</v>
      </c>
      <c r="Y12" s="374">
        <f t="shared" si="0"/>
        <v>202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149</v>
      </c>
      <c r="AJ12" s="243" t="str">
        <f>IF(ISNUMBER(Datos!BW12),Datos!BW12," - ")</f>
        <v xml:space="preserve"> - </v>
      </c>
      <c r="AK12" s="242" t="str">
        <f>IF(ISNUMBER(Datos!BX12),Datos!BX12," - ")</f>
        <v xml:space="preserve"> - </v>
      </c>
      <c r="AL12" s="266">
        <f>IF(ISNUMBER(NºAsuntos!G12/NºAsuntos!E12),NºAsuntos!G12/NºAsuntos!E12," - ")</f>
        <v>0.95034482758620686</v>
      </c>
      <c r="AM12" s="284">
        <f>IF(ISNUMBER(((NºAsuntos!I12/NºAsuntos!G12)*11)/factor_trimestre),((NºAsuntos!I12/NºAsuntos!G12)*11)/factor_trimestre," - ")</f>
        <v>11.429608127721336</v>
      </c>
      <c r="AN12" s="267">
        <f>IF(ISNUMBER('Resol  Asuntos'!D12/NºAsuntos!G12),'Resol  Asuntos'!D12/NºAsuntos!G12," - ")</f>
        <v>0.21625544267053701</v>
      </c>
      <c r="AO12" s="268">
        <f>IF(ISNUMBER((NºAsuntos!C12+NºAsuntos!E12)/NºAsuntos!G12),(NºAsuntos!C12+NºAsuntos!E12)/NºAsuntos!G12," - ")</f>
        <v>4.8098693759071116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28</v>
      </c>
      <c r="G14" s="1163">
        <f t="shared" si="5"/>
        <v>28</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204</v>
      </c>
      <c r="Y14" s="1165">
        <f t="shared" si="6"/>
        <v>209</v>
      </c>
      <c r="Z14" s="1165">
        <f t="shared" si="6"/>
        <v>0</v>
      </c>
      <c r="AA14" s="1165">
        <f t="shared" si="6"/>
        <v>26</v>
      </c>
      <c r="AB14" s="1165">
        <f t="shared" si="6"/>
        <v>2035</v>
      </c>
      <c r="AC14" s="1165">
        <f t="shared" si="6"/>
        <v>32</v>
      </c>
      <c r="AD14" s="1165">
        <f t="shared" si="6"/>
        <v>0</v>
      </c>
      <c r="AE14" s="1169">
        <f t="shared" si="6"/>
        <v>0</v>
      </c>
      <c r="AF14" s="1162">
        <f t="shared" si="6"/>
        <v>0</v>
      </c>
      <c r="AG14" s="1170">
        <f t="shared" si="6"/>
        <v>0</v>
      </c>
      <c r="AH14" s="1167">
        <f t="shared" si="6"/>
        <v>0</v>
      </c>
      <c r="AI14" s="1162">
        <f t="shared" si="6"/>
        <v>152</v>
      </c>
      <c r="AJ14" s="1164">
        <f t="shared" si="6"/>
        <v>0</v>
      </c>
      <c r="AK14" s="1167">
        <f>SUBTOTAL(9,AK9:AK13)</f>
        <v>0</v>
      </c>
      <c r="AL14" s="1171">
        <f>IF(ISNUMBER(NºAsuntos!G14/NºAsuntos!E14),NºAsuntos!G14/NºAsuntos!E14," - ")</f>
        <v>0.95329670329670335</v>
      </c>
      <c r="AM14" s="1171">
        <f>IF(ISNUMBER(((NºAsuntos!I14/NºAsuntos!G14)*11)/factor_trimestre),((NºAsuntos!I14/NºAsuntos!G14)*11)/factor_trimestre," - ")</f>
        <v>11.459654178674352</v>
      </c>
      <c r="AN14" s="1172">
        <f>IF(ISNUMBER('Resol  Asuntos'!D14/NºAsuntos!G14),'Resol  Asuntos'!D14/NºAsuntos!G14," - ")</f>
        <v>0.21902017291066284</v>
      </c>
      <c r="AO14" s="1173">
        <f>IF(ISNUMBER((NºAsuntos!C14+NºAsuntos!E14)/NºAsuntos!G14),(NºAsuntos!C14+NºAsuntos!E14)/NºAsuntos!G14," - ")</f>
        <v>4.8198847262247835</v>
      </c>
      <c r="AP14" s="1174" t="str">
        <f t="shared" si="2"/>
        <v xml:space="preserve"> - </v>
      </c>
      <c r="AQ14" s="1174">
        <f>IF(ISNUMBER((H14-W14+K14)/(F14)),(H14-W14+K14)/(F14)," - ")</f>
        <v>-0.17857142857142858</v>
      </c>
      <c r="AR14" s="1175">
        <f>IF(ISNUMBER((Datos!P14-Datos!Q14)/(Datos!R14-Datos!P14+Datos!Q14)),(Datos!P14-Datos!Q14)/(Datos!R14-Datos!P14+Datos!Q14)," - ")</f>
        <v>-2.771141901576684E-2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1002</v>
      </c>
      <c r="G17" s="373">
        <f>IF(ISNUMBER(IF(D_I="SI",Datos!I17,Datos!I17+Datos!AC17)),IF(D_I="SI",Datos!I17,Datos!I17+Datos!AC17)," - ")</f>
        <v>1002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521</v>
      </c>
      <c r="X17" s="240">
        <f>IF(ISNUMBER(Datos!Q17),Datos!Q17," - ")</f>
        <v>28</v>
      </c>
      <c r="Y17" s="374">
        <f t="shared" ref="Y17:Y22" si="9">SUM(W17:X17)</f>
        <v>549</v>
      </c>
      <c r="Z17" s="375" t="str">
        <f>IF(ISNUMBER(Datos!CC17),Datos!CC17," - ")</f>
        <v xml:space="preserve"> - </v>
      </c>
      <c r="AA17" s="372">
        <f>IF(ISNUMBER(IF(D_I="SI",Datos!L17,Datos!L17+Datos!AF17)),IF(D_I="SI",Datos!L17,Datos!L17+Datos!AF17)," - ")</f>
        <v>1039</v>
      </c>
      <c r="AB17" s="374">
        <f>IF(ISNUMBER(Datos!R17),Datos!R17," - ")</f>
        <v>117</v>
      </c>
      <c r="AC17" s="374">
        <f t="shared" si="8"/>
        <v>1156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0.93369175627240142</v>
      </c>
      <c r="AM17" s="284">
        <f>IF(ISNUMBER(((NºAsuntos!I17/NºAsuntos!G17)*11)/factor_trimestre),((NºAsuntos!I17/NºAsuntos!G17)*11)/factor_trimestre," - ")</f>
        <v>5.9827255278310938</v>
      </c>
      <c r="AN17" s="267">
        <f>IF(ISNUMBER('Resol  Asuntos'!D17/NºAsuntos!G17),'Resol  Asuntos'!D17/NºAsuntos!G17," - ")</f>
        <v>0.2437619961612284</v>
      </c>
      <c r="AO17" s="268">
        <f>IF(ISNUMBER((NºAsuntos!C17+NºAsuntos!E17)/NºAsuntos!G17),(NºAsuntos!C17+NºAsuntos!E17)/NºAsuntos!G17," - ")</f>
        <v>2.9942418426103647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63</v>
      </c>
      <c r="X18" s="240">
        <f>IF(ISNUMBER(Datos!Q18),Datos!Q18," - ")</f>
        <v>0</v>
      </c>
      <c r="Y18" s="374">
        <f t="shared" si="9"/>
        <v>63</v>
      </c>
      <c r="Z18" s="375" t="str">
        <f>IF(ISNUMBER(Datos!CC18),Datos!CC18," - ")</f>
        <v xml:space="preserve"> - </v>
      </c>
      <c r="AA18" s="372">
        <f>IF(ISNUMBER(Datos!L18),Datos!L18,"-")</f>
        <v>93</v>
      </c>
      <c r="AB18" s="374">
        <f>IF(ISNUMBER(Datos!R18),Datos!R18," - ")</f>
        <v>2</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1.1886792452830188</v>
      </c>
      <c r="AM18" s="284">
        <f>IF(ISNUMBER(((NºAsuntos!I18/NºAsuntos!G18)*11)/factor_trimestre),((NºAsuntos!I18/NºAsuntos!G18)*11)/factor_trimestre," - ")</f>
        <v>4.4285714285714297</v>
      </c>
      <c r="AN18" s="267">
        <f>IF(ISNUMBER('Resol  Asuntos'!D18/NºAsuntos!G18),'Resol  Asuntos'!D18/NºAsuntos!G18," - ")</f>
        <v>4.7619047619047616E-2</v>
      </c>
      <c r="AO18" s="268">
        <f>IF(ISNUMBER((NºAsuntos!C18+NºAsuntos!E18)/NºAsuntos!G18),(NºAsuntos!C18+NºAsuntos!E18)/NºAsuntos!G18," - ")</f>
        <v>2.4761904761904763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1002</v>
      </c>
      <c r="G23" s="1163">
        <f>SUBTOTAL(9,G16:G22)</f>
        <v>1105</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584</v>
      </c>
      <c r="X23" s="1164">
        <f t="shared" si="14"/>
        <v>28</v>
      </c>
      <c r="Y23" s="1165">
        <f t="shared" si="14"/>
        <v>612</v>
      </c>
      <c r="Z23" s="1165">
        <f t="shared" si="14"/>
        <v>0</v>
      </c>
      <c r="AA23" s="1165">
        <f t="shared" si="14"/>
        <v>1132</v>
      </c>
      <c r="AB23" s="1165">
        <f t="shared" si="14"/>
        <v>119</v>
      </c>
      <c r="AC23" s="1165">
        <f t="shared" si="14"/>
        <v>1251</v>
      </c>
      <c r="AD23" s="1165">
        <f t="shared" si="14"/>
        <v>0</v>
      </c>
      <c r="AE23" s="1169">
        <f t="shared" si="14"/>
        <v>0</v>
      </c>
      <c r="AF23" s="1162">
        <f t="shared" si="14"/>
        <v>0</v>
      </c>
      <c r="AG23" s="1170">
        <f t="shared" si="14"/>
        <v>0</v>
      </c>
      <c r="AH23" s="1167">
        <f t="shared" si="14"/>
        <v>0</v>
      </c>
      <c r="AI23" s="1162">
        <f t="shared" si="14"/>
        <v>130</v>
      </c>
      <c r="AJ23" s="1164">
        <f t="shared" si="14"/>
        <v>0</v>
      </c>
      <c r="AK23" s="1167">
        <f t="shared" si="14"/>
        <v>0</v>
      </c>
      <c r="AL23" s="1171">
        <f>IF(ISNUMBER(NºAsuntos!G23/NºAsuntos!E23),NºAsuntos!G23/NºAsuntos!E23," - ")</f>
        <v>0.95581014729950897</v>
      </c>
      <c r="AM23" s="1171">
        <f>IF(ISNUMBER(((NºAsuntos!I23/NºAsuntos!G23)*11)/factor_trimestre),((NºAsuntos!I23/NºAsuntos!G23)*11)/factor_trimestre," - ")</f>
        <v>5.8150684931506849</v>
      </c>
      <c r="AN23" s="1172">
        <f>IF(ISNUMBER('Resol  Asuntos'!D23/NºAsuntos!G23),'Resol  Asuntos'!D23/NºAsuntos!G23," - ")</f>
        <v>0.2226027397260274</v>
      </c>
      <c r="AO23" s="1173">
        <f>IF(ISNUMBER((NºAsuntos!C23+NºAsuntos!E23)/NºAsuntos!G23),(NºAsuntos!C23+NºAsuntos!E23)/NºAsuntos!G23," - ")</f>
        <v>2.9383561643835616</v>
      </c>
      <c r="AP23" s="1174" t="str">
        <f t="shared" si="2"/>
        <v xml:space="preserve"> - </v>
      </c>
      <c r="AQ23" s="1174">
        <f>IF(ISNUMBER((H23-W23+K23)/(F23)),(H23-W23+K23)/(F23)," - ")</f>
        <v>-0.58283433133732532</v>
      </c>
      <c r="AR23" s="1175">
        <f>IF(ISNUMBER((Datos!P23-Datos!Q23)/(Datos!R23-Datos!P23+Datos!Q23)),(Datos!P23-Datos!Q23)/(Datos!R23-Datos!P23+Datos!Q23)," - ")</f>
        <v>-0.10526315789473684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1030</v>
      </c>
      <c r="G31" s="1118">
        <f t="shared" si="20"/>
        <v>1133</v>
      </c>
      <c r="H31" s="1117">
        <f t="shared" si="20"/>
        <v>0</v>
      </c>
      <c r="I31" s="1119">
        <f t="shared" si="20"/>
        <v>0</v>
      </c>
      <c r="J31" s="1119">
        <f t="shared" si="20"/>
        <v>0</v>
      </c>
      <c r="K31" s="1180">
        <f t="shared" si="20"/>
        <v>0</v>
      </c>
      <c r="L31" s="1119">
        <f t="shared" si="20"/>
        <v>160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589</v>
      </c>
      <c r="X31" s="1118">
        <f t="shared" si="21"/>
        <v>232</v>
      </c>
      <c r="Y31" s="1125">
        <f t="shared" si="21"/>
        <v>821</v>
      </c>
      <c r="Z31" s="1125">
        <f t="shared" si="21"/>
        <v>0</v>
      </c>
      <c r="AA31" s="1125">
        <f t="shared" si="21"/>
        <v>1158</v>
      </c>
      <c r="AB31" s="1125">
        <f t="shared" si="21"/>
        <v>2154</v>
      </c>
      <c r="AC31" s="1125">
        <f t="shared" si="21"/>
        <v>1283</v>
      </c>
      <c r="AD31" s="1125">
        <f t="shared" si="21"/>
        <v>0</v>
      </c>
      <c r="AE31" s="1127">
        <f t="shared" si="21"/>
        <v>0</v>
      </c>
      <c r="AF31" s="1128">
        <f t="shared" si="21"/>
        <v>0</v>
      </c>
      <c r="AG31" s="1129">
        <f t="shared" si="21"/>
        <v>0</v>
      </c>
      <c r="AH31" s="1127">
        <f t="shared" si="21"/>
        <v>0</v>
      </c>
      <c r="AI31" s="1117">
        <f t="shared" si="21"/>
        <v>282</v>
      </c>
      <c r="AJ31" s="1117">
        <f t="shared" si="21"/>
        <v>0</v>
      </c>
      <c r="AK31" s="1127">
        <f t="shared" si="21"/>
        <v>0</v>
      </c>
      <c r="AL31" s="1183">
        <f>IF(ISNUMBER(NºAsuntos!G31/NºAsuntos!E31),NºAsuntos!G31/NºAsuntos!E31," - ")</f>
        <v>0.95444361463778937</v>
      </c>
      <c r="AM31" s="1184">
        <f>IF(ISNUMBER(((NºAsuntos!I31/NºAsuntos!G31)*11)/factor_trimestre),((NºAsuntos!I31/NºAsuntos!G31)*11)/factor_trimestre," - ")</f>
        <v>8.8802816901408459</v>
      </c>
      <c r="AN31" s="1184">
        <f>IF(ISNUMBER('Resol  Asuntos'!D31/NºAsuntos!G31),'Resol  Asuntos'!D31/NºAsuntos!G31," - ")</f>
        <v>0.22065727699530516</v>
      </c>
      <c r="AO31" s="1185">
        <f>IF(ISNUMBER((NºAsuntos!C31+NºAsuntos!E31)/NºAsuntos!G31),(NºAsuntos!C31+NºAsuntos!E31)/NºAsuntos!G31," - ")</f>
        <v>3.960093896713615</v>
      </c>
      <c r="AP31" s="1186" t="str">
        <f t="shared" si="2"/>
        <v xml:space="preserve"> - </v>
      </c>
      <c r="AQ31" s="1187">
        <f>IF(OR(ISNUMBER(FIND("01",Criterios!A8,1)),ISNUMBER(FIND("02",Criterios!A8,1)),ISNUMBER(FIND("03",Criterios!A8,1)),ISNUMBER(FIND("04",Criterios!A8,1))),(I31-W31+K31)/(F31-K31),(H31-W31+K31)/(F31-K31))</f>
        <v>-0.57184466019417479</v>
      </c>
      <c r="AR31" s="1188">
        <f>IF(ISNUMBER((Datos!P31-Datos!Q31)/(Datos!R31-Datos!P31+Datos!Q31)),(Datos!P31-Datos!Q31)/(Datos!R31-Datos!P31+Datos!Q31)," - ")</f>
        <v>-3.2345013477088951E-2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510.35464793285337</v>
      </c>
      <c r="G33" s="277">
        <f>IF(ISNUMBER(STDEV(G8:G30)),STDEV(G8:G30),"-")</f>
        <v>500.61119786574034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264.03138341600879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74.248617110739133</v>
      </c>
      <c r="AJ33" s="276">
        <f t="shared" si="25"/>
        <v>0</v>
      </c>
      <c r="AK33" s="278">
        <f t="shared" si="25"/>
        <v>0</v>
      </c>
      <c r="AL33" s="273">
        <f t="shared" si="25"/>
        <v>0.29015544925090941</v>
      </c>
      <c r="AM33" s="274">
        <f t="shared" si="25"/>
        <v>4.3720300459361621</v>
      </c>
      <c r="AN33" s="274">
        <f t="shared" si="25"/>
        <v>0.18217661900024568</v>
      </c>
      <c r="AO33" s="275">
        <f t="shared" si="25"/>
        <v>1.4573433486453857</v>
      </c>
      <c r="AP33" s="317" t="str">
        <f t="shared" si="25"/>
        <v>-</v>
      </c>
      <c r="AQ33" s="318">
        <f t="shared" si="25"/>
        <v>0.2858570399279235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k3I8fWBDOxgankKaeLIav67WR2yQZTrre1TIJWNJF5pFQjrXnQHi1JjVt2HMzYGci6hlnVNnRE/zLkYgioMCg==" saltValue="bFqJxv+R3csPnRoU5mjE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VILAGARCIA DE AROUSA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-0.7</v>
      </c>
      <c r="F10" s="393">
        <f>IF(ISNUMBER((Datos!K10-Datos!U10)/Datos!U10),(Datos!K10-Datos!U10)/Datos!U10," - ")</f>
        <v>1.5</v>
      </c>
      <c r="G10" s="394">
        <f>IF(ISNUMBER((Datos!L10-Datos!V10)/Datos!V10),(Datos!L10-Datos!V10)/Datos!V10," - ")</f>
        <v>0</v>
      </c>
      <c r="H10" s="244" t="str">
        <f>IF(ISNUMBER((Datos!M10-Datos!W10)/Datos!W10),(Datos!M10-Datos!W10)/Datos!W10," - ")</f>
        <v xml:space="preserve"> - </v>
      </c>
      <c r="I10" s="395">
        <f>IF(ISNUMBER((Tasas!C10-Datos!BE10)/Datos!BE10),(Tasas!C10-Datos!BE10)/Datos!BE10," - ")</f>
        <v>-0.6</v>
      </c>
      <c r="J10" s="394" t="str">
        <f>IF(ISNUMBER((Tasas!D10-Datos!BF10)/Datos!BF10),(Tasas!D10-Datos!BF10)/Datos!BF10," - ")</f>
        <v xml:space="preserve"> - </v>
      </c>
      <c r="K10" s="396">
        <f>IF(ISNUMBER((Tasas!E10-Datos!BG10)/Datos!BG10),(Tasas!E10-Datos!BG10)/Datos!BG10," - ")</f>
        <v>-0.55714285714285716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-1.9736842105263157E-2</v>
      </c>
      <c r="I12" s="395">
        <f>IF(ISNUMBER((Tasas!C12-Datos!BE12)/Datos!BE12),(Tasas!C12-Datos!BE12)/Datos!BE12," - ")</f>
        <v>-0.17058947999809615</v>
      </c>
      <c r="J12" s="394">
        <f>IF(ISNUMBER((Tasas!D12-Datos!BF12)/Datos!BF12),(Tasas!D12-Datos!BF12)/Datos!BF12," - ")</f>
        <v>-0.30317690695049188</v>
      </c>
      <c r="K12" s="396">
        <f>IF(ISNUMBER((Tasas!E12-Datos!BG12)/Datos!BG12),(Tasas!E12-Datos!BG12)/Datos!BG12," - ")</f>
        <v>-0.1400914905500264</v>
      </c>
      <c r="M12" t="e">
        <f>IF(Monitorios="SI",Datos!CE12,0)</f>
        <v>#REF!</v>
      </c>
      <c r="N12" t="e">
        <f>IF(Monitorios="SI",Datos!CF12,0)</f>
        <v>#REF!</v>
      </c>
      <c r="O12" t="e">
        <f>IF(Monitorios="SI",Datos!CG12,0)</f>
        <v>#REF!</v>
      </c>
      <c r="P12" t="e">
        <f>IF(Monitorios="SI",Datos!CH12,0)</f>
        <v>#REF!</v>
      </c>
      <c r="Q12">
        <f>IF(J_V="SI",0,Datos!AG12)</f>
        <v>31</v>
      </c>
      <c r="R12">
        <f>IF(J_V="SI",0,Datos!AH12)</f>
        <v>95</v>
      </c>
      <c r="S12">
        <f>IF(J_V="SI",0,Datos!AI12)</f>
        <v>70</v>
      </c>
      <c r="T12">
        <f>IF(J_V="SI",0,Datos!AJ12)</f>
        <v>56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-0.17387710066394002</v>
      </c>
      <c r="J14" s="400">
        <f>IF(ISNUMBER((Tasas!D14-Datos!BF14)/Datos!BF14),(Tasas!D14-Datos!BF14)/Datos!BF14," - ")</f>
        <v>-0.29170669228306118</v>
      </c>
      <c r="K14" s="403">
        <f>IF(ISNUMBER((Tasas!E14-Datos!BG14)/Datos!BG14),(Tasas!E14-Datos!BG14)/Datos!BG14," - ")</f>
        <v>-0.14295940398639706</v>
      </c>
      <c r="M14" t="e">
        <f>IF(Monitorios="SI",Datos!CE14,0)</f>
        <v>#REF!</v>
      </c>
      <c r="N14" t="e">
        <f>IF(Monitorios="SI",Datos!CF14,0)</f>
        <v>#REF!</v>
      </c>
      <c r="O14" t="e">
        <f>IF(Monitorios="SI",Datos!CG14,0)</f>
        <v>#REF!</v>
      </c>
      <c r="P14" t="e">
        <f>IF(Monitorios="SI",Datos!CH14,0)</f>
        <v>#REF!</v>
      </c>
      <c r="Q14">
        <f>IF(J_V="SI",0,Datos!AG14)</f>
        <v>31</v>
      </c>
      <c r="R14">
        <f>IF(J_V="SI",0,Datos!AH14)</f>
        <v>95</v>
      </c>
      <c r="S14">
        <f>IF(J_V="SI",0,Datos!AI14)</f>
        <v>70</v>
      </c>
      <c r="T14">
        <f>IF(J_V="SI",0,Datos!AJ14)</f>
        <v>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-0.15084745762711865</v>
      </c>
      <c r="E17" s="393">
        <f>IF(ISNUMBER(
   IF(D_I="SI",(Datos!J17-Datos!T17)/Datos!T17,(Datos!J17+Datos!AD17-(Datos!T17+Datos!AL17))/(Datos!T17+Datos!AL17))
     ),IF(D_I="SI",(Datos!J17-Datos!T17)/Datos!T17,(Datos!J17+Datos!AD17-(Datos!T17+Datos!AL17))/(Datos!T17+Datos!AL17))," - ")</f>
        <v>0.51630434782608692</v>
      </c>
      <c r="F17" s="393">
        <f>IF(ISNUMBER(
   IF(D_I="SI",(Datos!K17-Datos!U17)/Datos!U17,(Datos!K17+Datos!AE17-(Datos!U17+Datos!AM17))/(Datos!U17+Datos!AM17))
     ),IF(D_I="SI",(Datos!K17-Datos!U17)/Datos!U17,(Datos!K17+Datos!AE17-(Datos!U17+Datos!AM17))/(Datos!U17+Datos!AM17))," - ")</f>
        <v>7.6446280991735532E-2</v>
      </c>
      <c r="G17" s="394">
        <f>IF(ISNUMBER(
   IF(D_I="SI",(Datos!L17-Datos!V17)/Datos!V17,(Datos!L17+Datos!AF17-(Datos!V17+Datos!AN17))/(Datos!V17+Datos!AN17))
     ),IF(D_I="SI",(Datos!L17-Datos!V17)/Datos!V17,(Datos!L17+Datos!AF17-(Datos!V17+Datos!AN17))/(Datos!V17+Datos!AN17))," - ")</f>
        <v>-2.3496240601503758E-2</v>
      </c>
      <c r="H17" s="244">
        <f>IF(ISNUMBER((Datos!M17-Datos!W17)/Datos!W17),(Datos!M17-Datos!W17)/Datos!W17," - ")</f>
        <v>5.8333333333333334E-2</v>
      </c>
      <c r="I17" s="395">
        <f>IF(ISNUMBER((Tasas!C17-Datos!BE17)/Datos!BE17),(Tasas!C17-Datos!BE17)/Datos!BE17," - ")</f>
        <v>-9.2844876105811436E-2</v>
      </c>
      <c r="J17" s="394">
        <f>IF(ISNUMBER((Tasas!D17-Datos!BF17)/Datos!BF17),(Tasas!D17-Datos!BF17)/Datos!BF17," - ")</f>
        <v>-1.6826615483045478E-2</v>
      </c>
      <c r="K17" s="396">
        <f>IF(ISNUMBER((Tasas!E17-Datos!BG17)/Datos!BG17),(Tasas!E17-Datos!BG17)/Datos!BG17," - ")</f>
        <v>-6.3815857995208891E-2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0.43055555555555558</v>
      </c>
      <c r="E18" s="393">
        <f>IF(ISNUMBER(
   IF(D_I="SI",(Datos!J18-Datos!T18)/Datos!T18,(Datos!J18+Datos!AD18-(Datos!T18+Datos!AL18))/(Datos!T18+Datos!AL18))
     ),IF(D_I="SI",(Datos!J18-Datos!T18)/Datos!T18,(Datos!J18+Datos!AD18-(Datos!T18+Datos!AL18))/(Datos!T18+Datos!AL18))," - ")</f>
        <v>-1.8518518518518517E-2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0.47619047619047616</v>
      </c>
      <c r="H18" s="244">
        <f>IF(ISNUMBER((Datos!M18-Datos!W18)/Datos!W18),(Datos!M18-Datos!W18)/Datos!W18," - ")</f>
        <v>0</v>
      </c>
      <c r="I18" s="395">
        <f>IF(ISNUMBER((Tasas!C18-Datos!BE18)/Datos!BE18),(Tasas!C18-Datos!BE18)/Datos!BE18," - ")</f>
        <v>0.47619047619047628</v>
      </c>
      <c r="J18" s="394">
        <f>IF(ISNUMBER((Tasas!D18-Datos!BF18)/Datos!BF18),(Tasas!D18-Datos!BF18)/Datos!BF18," - ")</f>
        <v>0</v>
      </c>
      <c r="K18" s="396">
        <f>IF(ISNUMBER((Tasas!E18-Datos!BG18)/Datos!BG18),(Tasas!E18-Datos!BG18)/Datos!BG18," - ")</f>
        <v>0.23809523809523814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-0.11741214057507987</v>
      </c>
      <c r="E23" s="399">
        <f>IF(ISNUMBER(
   IF(D_I="SI",(Datos!J23-Datos!T23)/Datos!T23,(Datos!J23+Datos!AD23-(Datos!T23+Datos!AL23))/(Datos!T23+Datos!AL23))
     ),IF(D_I="SI",(Datos!J23-Datos!T23)/Datos!T23,(Datos!J23+Datos!AD23-(Datos!T23+Datos!AL23))/(Datos!T23+Datos!AL23))," - ")</f>
        <v>0.44786729857819907</v>
      </c>
      <c r="F23" s="399">
        <f>IF(ISNUMBER(
   IF(D_I="SI",(Datos!K23-Datos!U23)/Datos!U23,(Datos!K23+Datos!AE23-(Datos!U23+Datos!AM23))/(Datos!U23+Datos!AM23))
     ),IF(D_I="SI",(Datos!K23-Datos!U23)/Datos!U23,(Datos!K23+Datos!AE23-(Datos!U23+Datos!AM23))/(Datos!U23+Datos!AM23))," - ")</f>
        <v>6.7641681901279713E-2</v>
      </c>
      <c r="G23" s="400">
        <f>IF(ISNUMBER(
   IF(D_I="SI",(Datos!L23-Datos!V23)/Datos!V23,(Datos!L23+Datos!AF23-(Datos!V23+Datos!AN23))/(Datos!V23+Datos!AN23))
     ),IF(D_I="SI",(Datos!L23-Datos!V23)/Datos!V23,(Datos!L23+Datos!AF23-(Datos!V23+Datos!AN23))/(Datos!V23+Datos!AN23))," - ")</f>
        <v>4.4365572315882874E-3</v>
      </c>
      <c r="H23" s="401">
        <f>IF(ISNUMBER((Datos!M23-Datos!W23)/Datos!W23),(Datos!M23-Datos!W23)/Datos!W23," - ")</f>
        <v>5.6910569105691054E-2</v>
      </c>
      <c r="I23" s="402">
        <f>IF(ISNUMBER((Tasas!C23-Datos!BE23)/Datos!BE23),(Tasas!C23-Datos!BE23)/Datos!BE23," - ")</f>
        <v>-5.9200690401234948E-2</v>
      </c>
      <c r="J23" s="400">
        <f>IF(ISNUMBER((Tasas!D23-Datos!BF23)/Datos!BF23),(Tasas!D23-Datos!BF23)/Datos!BF23," - ")</f>
        <v>-1.005123064929273E-2</v>
      </c>
      <c r="K23" s="403">
        <f>IF(ISNUMBER((Tasas!E23-Datos!BG23)/Datos!BG23),(Tasas!E23-Datos!BG23)/Datos!BG23," - ")</f>
        <v>-3.9856139834045276E-2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-1.377848436671966E-2</v>
      </c>
      <c r="E31" s="409">
        <f>IF(ISNUMBER(
   IF(J_V="SI",(Datos!J31-Datos!T31)/Datos!T31,(Datos!J31+Datos!Z31-(Datos!T31+Datos!AH31))/(Datos!T31+Datos!AH31))
     ),IF(J_V="SI",(Datos!J31-Datos!T31)/Datos!T31,(Datos!J31+Datos!Z31-(Datos!T31+Datos!AH31))/(Datos!T31+Datos!AH31))," - ")</f>
        <v>0.32574257425742575</v>
      </c>
      <c r="F31" s="409">
        <f>IF(ISNUMBER(
   IF(J_V="SI",(Datos!K31-Datos!U31)/Datos!U31,(Datos!K31+Datos!AA31-(Datos!U31+Datos!AI31))/(Datos!U31+Datos!AI31))
     ),IF(J_V="SI",(Datos!K31-Datos!U31)/Datos!U31,(Datos!K31+Datos!AA31-(Datos!U31+Datos!AI31))/(Datos!U31+Datos!AI31))," - ")</f>
        <v>0.16181818181818181</v>
      </c>
      <c r="G31" s="410">
        <f>IF(ISNUMBER(
   IF(J_V="SI",(Datos!L31-Datos!V31)/Datos!V31,(Datos!L31+Datos!AB31-(Datos!V31+Datos!AJ31))/(Datos!V31+Datos!AJ31))
     ),IF(J_V="SI",(Datos!L31-Datos!V31)/Datos!V31,(Datos!L31+Datos!AB31-(Datos!V31+Datos!AJ31))/(Datos!V31+Datos!AJ31))," - ")</f>
        <v>2.6872964169381109E-2</v>
      </c>
      <c r="H31" s="411">
        <f>IF(ISNUMBER((Datos!M31-Datos!W31)/Datos!W31),(Datos!M31-Datos!W31)/Datos!W31," - ")</f>
        <v>2.5454545454545455E-2</v>
      </c>
      <c r="I31" s="408">
        <f>IF(ISNUMBER((Tasas!C31-Datos!BE31)/Datos!BE31),(Tasas!C31-Datos!BE31)/Datos!BE31," - ")</f>
        <v>-0.11615003084012582</v>
      </c>
      <c r="J31" s="409">
        <f>IF(ISNUMBER((Tasas!D31-Datos!BF31)/Datos!BF31),(Tasas!D31-Datos!BF31)/Datos!BF31," - ")</f>
        <v>-0.17441154865702152</v>
      </c>
      <c r="K31" s="410">
        <f>IF(ISNUMBER((Tasas!E31-Datos!BG31)/Datos!BG31),(Tasas!E31-Datos!BG31)/Datos!BG31," - ")</f>
        <v>-8.9443292979728903E-2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0.36593848723019878</v>
      </c>
      <c r="E33" s="303">
        <f t="shared" si="1"/>
        <v>0.56047951715115041</v>
      </c>
      <c r="F33" s="303">
        <f t="shared" si="1"/>
        <v>0.7267881680323538</v>
      </c>
      <c r="G33" s="304">
        <f t="shared" si="1"/>
        <v>0.24158296403844151</v>
      </c>
      <c r="H33" s="310">
        <f t="shared" si="1"/>
        <v>3.6079127883307277E-2</v>
      </c>
      <c r="I33" s="302">
        <f t="shared" si="1"/>
        <v>0.34469787252548256</v>
      </c>
      <c r="J33" s="303">
        <f t="shared" si="1"/>
        <v>0.15817374503080062</v>
      </c>
      <c r="K33" s="304">
        <f t="shared" si="1"/>
        <v>0.25682789142367157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DW0u/5cySWbG9j4R4ePqIDdu9QV+zd40sPrMJdrsm38ysbmLmndYaJyw9iNlnRU+lj3xZPfjNNypRCbE5nmyQ==" saltValue="fkRxIY6h0JUFMFHbIHMI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